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19155" windowHeight="9015"/>
  </bookViews>
  <sheets>
    <sheet name="Metrics" sheetId="5" r:id="rId1"/>
    <sheet name="SA" sheetId="7" r:id="rId2"/>
    <sheet name="Stats" sheetId="9" r:id="rId3"/>
    <sheet name="Income" sheetId="2" r:id="rId4"/>
    <sheet name="BalanceSheet" sheetId="3" r:id="rId5"/>
  </sheets>
  <calcPr calcId="145621"/>
</workbook>
</file>

<file path=xl/calcChain.xml><?xml version="1.0" encoding="utf-8"?>
<calcChain xmlns="http://schemas.openxmlformats.org/spreadsheetml/2006/main">
  <c r="H11" i="5" l="1"/>
  <c r="H10" i="5"/>
  <c r="H9" i="5"/>
  <c r="H8" i="5"/>
  <c r="H7" i="5"/>
  <c r="B12" i="5" s="1"/>
  <c r="H5" i="5"/>
  <c r="H4" i="5"/>
  <c r="F5" i="9" l="1"/>
  <c r="B5" i="9"/>
  <c r="B6" i="9"/>
  <c r="F6" i="9" s="1"/>
  <c r="B7" i="9"/>
  <c r="F7" i="9" s="1"/>
  <c r="F4" i="9"/>
  <c r="B4" i="9"/>
  <c r="S10" i="9"/>
  <c r="S6" i="9"/>
  <c r="S7" i="9"/>
  <c r="S8" i="9"/>
  <c r="S9" i="9"/>
  <c r="S11" i="9"/>
  <c r="S4" i="9"/>
  <c r="R4" i="9"/>
  <c r="S5" i="9"/>
  <c r="R10" i="9"/>
  <c r="R5" i="9"/>
  <c r="R6" i="9"/>
  <c r="R7" i="9"/>
  <c r="R8" i="9"/>
  <c r="R9" i="9"/>
  <c r="R11" i="9"/>
  <c r="D20" i="7"/>
  <c r="D19" i="7"/>
  <c r="D18" i="7"/>
  <c r="D17" i="7"/>
  <c r="D16" i="7"/>
  <c r="C15" i="7"/>
  <c r="B22" i="7" s="1"/>
  <c r="D14" i="7"/>
  <c r="D13" i="7"/>
  <c r="N4" i="9"/>
  <c r="N5" i="9"/>
  <c r="N7" i="9"/>
  <c r="N8" i="9"/>
  <c r="N9" i="9"/>
  <c r="N10" i="9"/>
  <c r="N11" i="9"/>
  <c r="M6" i="9"/>
  <c r="L13" i="9" s="1"/>
  <c r="D2" i="9" s="1"/>
  <c r="D9" i="9" s="1"/>
  <c r="B23" i="7"/>
  <c r="B26" i="7" s="1"/>
  <c r="H3" i="7"/>
  <c r="L3" i="7" s="1"/>
  <c r="H4" i="7"/>
  <c r="L4" i="7" s="1"/>
  <c r="H5" i="7"/>
  <c r="L5" i="7" s="1"/>
  <c r="H6" i="7"/>
  <c r="L6" i="7" s="1"/>
  <c r="H7" i="7"/>
  <c r="L7" i="7" s="1"/>
  <c r="H8" i="7"/>
  <c r="L8" i="7" s="1"/>
  <c r="H9" i="7"/>
  <c r="L9" i="7" s="1"/>
  <c r="H10" i="7"/>
  <c r="L10" i="7" s="1"/>
  <c r="H11" i="7"/>
  <c r="L11" i="7" s="1"/>
  <c r="H12" i="7"/>
  <c r="L12" i="7" s="1"/>
  <c r="H13" i="7"/>
  <c r="L13" i="7" s="1"/>
  <c r="H14" i="7"/>
  <c r="L14" i="7" s="1"/>
  <c r="H15" i="7"/>
  <c r="L15" i="7" s="1"/>
  <c r="H16" i="7"/>
  <c r="L16" i="7" s="1"/>
  <c r="H17" i="7"/>
  <c r="L17" i="7" s="1"/>
  <c r="H18" i="7"/>
  <c r="L18" i="7" s="1"/>
  <c r="H19" i="7"/>
  <c r="L19" i="7" s="1"/>
  <c r="H20" i="7"/>
  <c r="L20" i="7" s="1"/>
  <c r="H21" i="7"/>
  <c r="L21" i="7" s="1"/>
  <c r="H22" i="7"/>
  <c r="L22" i="7" s="1"/>
  <c r="H23" i="7"/>
  <c r="L23" i="7" s="1"/>
  <c r="H24" i="7"/>
  <c r="L24" i="7" s="1"/>
  <c r="H25" i="7"/>
  <c r="L25" i="7" s="1"/>
  <c r="H26" i="7"/>
  <c r="L26" i="7" s="1"/>
  <c r="H27" i="7"/>
  <c r="L27" i="7" s="1"/>
  <c r="H28" i="7"/>
  <c r="L28" i="7" s="1"/>
  <c r="H29" i="7"/>
  <c r="L29" i="7" s="1"/>
  <c r="H30" i="7"/>
  <c r="L30" i="7" s="1"/>
  <c r="H31" i="7"/>
  <c r="L31" i="7" s="1"/>
  <c r="H32" i="7"/>
  <c r="L32" i="7" s="1"/>
  <c r="H33" i="7"/>
  <c r="L33" i="7" s="1"/>
  <c r="H34" i="7"/>
  <c r="L34" i="7" s="1"/>
  <c r="H35" i="7"/>
  <c r="L35" i="7" s="1"/>
  <c r="H36" i="7"/>
  <c r="L36" i="7" s="1"/>
  <c r="H37" i="7"/>
  <c r="L37" i="7" s="1"/>
  <c r="H38" i="7"/>
  <c r="L38" i="7" s="1"/>
  <c r="H39" i="7"/>
  <c r="L39" i="7" s="1"/>
  <c r="H40" i="7"/>
  <c r="L40" i="7" s="1"/>
  <c r="H41" i="7"/>
  <c r="L41" i="7" s="1"/>
  <c r="H42" i="7"/>
  <c r="L42" i="7" s="1"/>
  <c r="H43" i="7"/>
  <c r="L43" i="7" s="1"/>
  <c r="H44" i="7"/>
  <c r="L44" i="7" s="1"/>
  <c r="H45" i="7"/>
  <c r="L45" i="7" s="1"/>
  <c r="H46" i="7"/>
  <c r="L46" i="7" s="1"/>
  <c r="H47" i="7"/>
  <c r="L47" i="7" s="1"/>
  <c r="H48" i="7"/>
  <c r="L48" i="7" s="1"/>
  <c r="H49" i="7"/>
  <c r="L49" i="7" s="1"/>
  <c r="H50" i="7"/>
  <c r="L50" i="7" s="1"/>
  <c r="H51" i="7"/>
  <c r="L51" i="7" s="1"/>
  <c r="H52" i="7"/>
  <c r="L52" i="7" s="1"/>
  <c r="H53" i="7"/>
  <c r="L53" i="7" s="1"/>
  <c r="H54" i="7"/>
  <c r="L54" i="7" s="1"/>
  <c r="H55" i="7"/>
  <c r="L55" i="7" s="1"/>
  <c r="H56" i="7"/>
  <c r="L56" i="7" s="1"/>
  <c r="H57" i="7"/>
  <c r="L57" i="7" s="1"/>
  <c r="H58" i="7"/>
  <c r="L58" i="7" s="1"/>
  <c r="H59" i="7"/>
  <c r="L59" i="7" s="1"/>
  <c r="H60" i="7"/>
  <c r="L60" i="7" s="1"/>
  <c r="H61" i="7"/>
  <c r="L61" i="7" s="1"/>
  <c r="H62" i="7"/>
  <c r="L62" i="7" s="1"/>
  <c r="H63" i="7"/>
  <c r="L63" i="7" s="1"/>
  <c r="H64" i="7"/>
  <c r="L64" i="7" s="1"/>
  <c r="H65" i="7"/>
  <c r="L65" i="7" s="1"/>
  <c r="H66" i="7"/>
  <c r="L66" i="7" s="1"/>
  <c r="H67" i="7"/>
  <c r="L67" i="7" s="1"/>
  <c r="H68" i="7"/>
  <c r="L68" i="7" s="1"/>
  <c r="H69" i="7"/>
  <c r="L69" i="7" s="1"/>
  <c r="H70" i="7"/>
  <c r="L70" i="7" s="1"/>
  <c r="H71" i="7"/>
  <c r="L71" i="7" s="1"/>
  <c r="H72" i="7"/>
  <c r="L72" i="7" s="1"/>
  <c r="H2" i="7"/>
  <c r="L2" i="7" s="1"/>
  <c r="G3" i="7"/>
  <c r="G4" i="7"/>
  <c r="G5" i="7"/>
  <c r="G6" i="7"/>
  <c r="G7" i="7"/>
  <c r="M7" i="7" s="1"/>
  <c r="G8" i="7"/>
  <c r="M8" i="7" s="1"/>
  <c r="G9" i="7"/>
  <c r="G10" i="7"/>
  <c r="G11" i="7"/>
  <c r="G12" i="7"/>
  <c r="M12" i="7" s="1"/>
  <c r="G13" i="7"/>
  <c r="M13" i="7" s="1"/>
  <c r="G14" i="7"/>
  <c r="M14" i="7" s="1"/>
  <c r="G15" i="7"/>
  <c r="G16" i="7"/>
  <c r="M16" i="7" s="1"/>
  <c r="G17" i="7"/>
  <c r="G18" i="7"/>
  <c r="G19" i="7"/>
  <c r="G20" i="7"/>
  <c r="G21" i="7"/>
  <c r="G22" i="7"/>
  <c r="M22" i="7" s="1"/>
  <c r="G23" i="7"/>
  <c r="M23" i="7" s="1"/>
  <c r="G24" i="7"/>
  <c r="M24" i="7" s="1"/>
  <c r="G25" i="7"/>
  <c r="M25" i="7" s="1"/>
  <c r="G26" i="7"/>
  <c r="M26" i="7" s="1"/>
  <c r="G27" i="7"/>
  <c r="G28" i="7"/>
  <c r="G29" i="7"/>
  <c r="G30" i="7"/>
  <c r="M30" i="7" s="1"/>
  <c r="G31" i="7"/>
  <c r="G32" i="7"/>
  <c r="M32" i="7" s="1"/>
  <c r="G33" i="7"/>
  <c r="G34" i="7"/>
  <c r="M34" i="7" s="1"/>
  <c r="G35" i="7"/>
  <c r="G36" i="7"/>
  <c r="G37" i="7"/>
  <c r="M37" i="7" s="1"/>
  <c r="G38" i="7"/>
  <c r="M38" i="7" s="1"/>
  <c r="G39" i="7"/>
  <c r="M39" i="7" s="1"/>
  <c r="G40" i="7"/>
  <c r="M40" i="7" s="1"/>
  <c r="G41" i="7"/>
  <c r="M41" i="7" s="1"/>
  <c r="G42" i="7"/>
  <c r="G43" i="7"/>
  <c r="G44" i="7"/>
  <c r="G45" i="7"/>
  <c r="M45" i="7" s="1"/>
  <c r="G46" i="7"/>
  <c r="M46" i="7" s="1"/>
  <c r="G47" i="7"/>
  <c r="M47" i="7" s="1"/>
  <c r="G48" i="7"/>
  <c r="M48" i="7" s="1"/>
  <c r="G49" i="7"/>
  <c r="M49" i="7" s="1"/>
  <c r="G50" i="7"/>
  <c r="G51" i="7"/>
  <c r="G52" i="7"/>
  <c r="G53" i="7"/>
  <c r="M53" i="7" s="1"/>
  <c r="G54" i="7"/>
  <c r="G55" i="7"/>
  <c r="G56" i="7"/>
  <c r="G57" i="7"/>
  <c r="M57" i="7" s="1"/>
  <c r="G58" i="7"/>
  <c r="G59" i="7"/>
  <c r="G60" i="7"/>
  <c r="G61" i="7"/>
  <c r="M61" i="7" s="1"/>
  <c r="G62" i="7"/>
  <c r="G63" i="7"/>
  <c r="M63" i="7" s="1"/>
  <c r="G64" i="7"/>
  <c r="M64" i="7" s="1"/>
  <c r="G65" i="7"/>
  <c r="M65" i="7" s="1"/>
  <c r="G66" i="7"/>
  <c r="M66" i="7" s="1"/>
  <c r="G67" i="7"/>
  <c r="G68" i="7"/>
  <c r="G69" i="7"/>
  <c r="G70" i="7"/>
  <c r="M70" i="7" s="1"/>
  <c r="G71" i="7"/>
  <c r="M71" i="7" s="1"/>
  <c r="G72" i="7"/>
  <c r="M72" i="7" s="1"/>
  <c r="J3" i="7"/>
  <c r="J4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2" i="7"/>
  <c r="G2" i="7"/>
  <c r="M2" i="7" s="1"/>
  <c r="M8" i="5"/>
  <c r="M9" i="5"/>
  <c r="M10" i="5"/>
  <c r="M11" i="5"/>
  <c r="M7" i="5"/>
  <c r="M5" i="5"/>
  <c r="H6" i="5"/>
  <c r="A27" i="5" s="1"/>
  <c r="L4" i="5"/>
  <c r="M4" i="5" s="1"/>
  <c r="B15" i="2"/>
  <c r="D17" i="3"/>
  <c r="C37" i="3"/>
  <c r="D37" i="3"/>
  <c r="E37" i="3"/>
  <c r="F37" i="3"/>
  <c r="B37" i="3"/>
  <c r="C24" i="3"/>
  <c r="D24" i="3"/>
  <c r="E24" i="3"/>
  <c r="E39" i="3" s="1"/>
  <c r="F24" i="3"/>
  <c r="F39" i="3" s="1"/>
  <c r="B24" i="3"/>
  <c r="B39" i="3" s="1"/>
  <c r="C11" i="3"/>
  <c r="C17" i="3" s="1"/>
  <c r="D11" i="3"/>
  <c r="E11" i="3"/>
  <c r="E17" i="3" s="1"/>
  <c r="F11" i="3"/>
  <c r="F17" i="3" s="1"/>
  <c r="B11" i="3"/>
  <c r="B17" i="3" s="1"/>
  <c r="C11" i="2"/>
  <c r="C15" i="2" s="1"/>
  <c r="D11" i="2"/>
  <c r="D15" i="2" s="1"/>
  <c r="D19" i="2" s="1"/>
  <c r="D21" i="2" s="1"/>
  <c r="E11" i="2"/>
  <c r="E15" i="2" s="1"/>
  <c r="E19" i="2" s="1"/>
  <c r="E21" i="2" s="1"/>
  <c r="F11" i="2"/>
  <c r="F15" i="2" s="1"/>
  <c r="F19" i="2" s="1"/>
  <c r="F21" i="2" s="1"/>
  <c r="B11" i="2"/>
  <c r="C39" i="3" l="1"/>
  <c r="D39" i="3"/>
  <c r="F13" i="9"/>
  <c r="D13" i="9"/>
  <c r="B13" i="9"/>
  <c r="B2" i="9"/>
  <c r="F2" i="9"/>
  <c r="D3" i="9"/>
  <c r="D8" i="9" s="1"/>
  <c r="H2" i="9"/>
  <c r="B25" i="7"/>
  <c r="O66" i="7" s="1"/>
  <c r="Q66" i="7" s="1"/>
  <c r="R66" i="7" s="1"/>
  <c r="O64" i="7"/>
  <c r="Q64" i="7" s="1"/>
  <c r="R64" i="7" s="1"/>
  <c r="P51" i="7"/>
  <c r="P57" i="7"/>
  <c r="O24" i="7"/>
  <c r="Q24" i="7" s="1"/>
  <c r="R24" i="7" s="1"/>
  <c r="P17" i="7"/>
  <c r="P66" i="7"/>
  <c r="O26" i="7"/>
  <c r="Q26" i="7" s="1"/>
  <c r="P19" i="7"/>
  <c r="P67" i="7"/>
  <c r="O32" i="7"/>
  <c r="Q32" i="7" s="1"/>
  <c r="R32" i="7" s="1"/>
  <c r="P25" i="7"/>
  <c r="O34" i="7"/>
  <c r="Q34" i="7" s="1"/>
  <c r="R34" i="7" s="1"/>
  <c r="P2" i="7"/>
  <c r="O56" i="7"/>
  <c r="Q56" i="7" s="1"/>
  <c r="R56" i="7" s="1"/>
  <c r="P50" i="7"/>
  <c r="P72" i="7"/>
  <c r="P27" i="7"/>
  <c r="P49" i="7"/>
  <c r="O58" i="7"/>
  <c r="Q58" i="7" s="1"/>
  <c r="R58" i="7" s="1"/>
  <c r="L14" i="9"/>
  <c r="O3" i="7"/>
  <c r="Q3" i="7" s="1"/>
  <c r="R3" i="7" s="1"/>
  <c r="O11" i="7"/>
  <c r="Q11" i="7" s="1"/>
  <c r="R11" i="7" s="1"/>
  <c r="O19" i="7"/>
  <c r="Q19" i="7" s="1"/>
  <c r="R19" i="7" s="1"/>
  <c r="O27" i="7"/>
  <c r="Q27" i="7" s="1"/>
  <c r="R27" i="7" s="1"/>
  <c r="O35" i="7"/>
  <c r="Q35" i="7" s="1"/>
  <c r="R35" i="7" s="1"/>
  <c r="O43" i="7"/>
  <c r="Q43" i="7" s="1"/>
  <c r="R43" i="7" s="1"/>
  <c r="O51" i="7"/>
  <c r="Q51" i="7" s="1"/>
  <c r="R51" i="7" s="1"/>
  <c r="O59" i="7"/>
  <c r="Q59" i="7" s="1"/>
  <c r="R59" i="7" s="1"/>
  <c r="O67" i="7"/>
  <c r="Q67" i="7" s="1"/>
  <c r="R67" i="7" s="1"/>
  <c r="P4" i="7"/>
  <c r="P12" i="7"/>
  <c r="P20" i="7"/>
  <c r="P28" i="7"/>
  <c r="P36" i="7"/>
  <c r="P44" i="7"/>
  <c r="P52" i="7"/>
  <c r="P60" i="7"/>
  <c r="P68" i="7"/>
  <c r="O4" i="7"/>
  <c r="Q4" i="7" s="1"/>
  <c r="R4" i="7" s="1"/>
  <c r="O12" i="7"/>
  <c r="Q12" i="7" s="1"/>
  <c r="R12" i="7" s="1"/>
  <c r="O20" i="7"/>
  <c r="Q20" i="7" s="1"/>
  <c r="R20" i="7" s="1"/>
  <c r="O28" i="7"/>
  <c r="Q28" i="7" s="1"/>
  <c r="R28" i="7" s="1"/>
  <c r="O36" i="7"/>
  <c r="Q36" i="7" s="1"/>
  <c r="R36" i="7" s="1"/>
  <c r="O44" i="7"/>
  <c r="Q44" i="7" s="1"/>
  <c r="R44" i="7" s="1"/>
  <c r="O52" i="7"/>
  <c r="Q52" i="7" s="1"/>
  <c r="R52" i="7" s="1"/>
  <c r="O60" i="7"/>
  <c r="Q60" i="7" s="1"/>
  <c r="R60" i="7" s="1"/>
  <c r="O68" i="7"/>
  <c r="Q68" i="7" s="1"/>
  <c r="R68" i="7" s="1"/>
  <c r="P5" i="7"/>
  <c r="P13" i="7"/>
  <c r="P21" i="7"/>
  <c r="P29" i="7"/>
  <c r="P37" i="7"/>
  <c r="P45" i="7"/>
  <c r="P53" i="7"/>
  <c r="P61" i="7"/>
  <c r="P69" i="7"/>
  <c r="O5" i="7"/>
  <c r="Q5" i="7" s="1"/>
  <c r="R5" i="7" s="1"/>
  <c r="O13" i="7"/>
  <c r="Q13" i="7" s="1"/>
  <c r="R13" i="7" s="1"/>
  <c r="O21" i="7"/>
  <c r="Q21" i="7" s="1"/>
  <c r="R21" i="7" s="1"/>
  <c r="O37" i="7"/>
  <c r="Q37" i="7" s="1"/>
  <c r="R37" i="7" s="1"/>
  <c r="O45" i="7"/>
  <c r="Q45" i="7" s="1"/>
  <c r="R45" i="7" s="1"/>
  <c r="O53" i="7"/>
  <c r="Q53" i="7" s="1"/>
  <c r="R53" i="7" s="1"/>
  <c r="O61" i="7"/>
  <c r="Q61" i="7" s="1"/>
  <c r="O69" i="7"/>
  <c r="Q69" i="7" s="1"/>
  <c r="R69" i="7" s="1"/>
  <c r="P6" i="7"/>
  <c r="P14" i="7"/>
  <c r="P22" i="7"/>
  <c r="P30" i="7"/>
  <c r="P38" i="7"/>
  <c r="P46" i="7"/>
  <c r="P54" i="7"/>
  <c r="P62" i="7"/>
  <c r="P70" i="7"/>
  <c r="O14" i="7"/>
  <c r="Q14" i="7" s="1"/>
  <c r="R14" i="7" s="1"/>
  <c r="O62" i="7"/>
  <c r="Q62" i="7" s="1"/>
  <c r="R62" i="7" s="1"/>
  <c r="P7" i="7"/>
  <c r="P23" i="7"/>
  <c r="P39" i="7"/>
  <c r="P55" i="7"/>
  <c r="P71" i="7"/>
  <c r="O7" i="7"/>
  <c r="Q7" i="7" s="1"/>
  <c r="R7" i="7" s="1"/>
  <c r="O23" i="7"/>
  <c r="Q23" i="7" s="1"/>
  <c r="R23" i="7" s="1"/>
  <c r="O31" i="7"/>
  <c r="Q31" i="7" s="1"/>
  <c r="R31" i="7" s="1"/>
  <c r="O39" i="7"/>
  <c r="Q39" i="7" s="1"/>
  <c r="R39" i="7" s="1"/>
  <c r="O47" i="7"/>
  <c r="Q47" i="7" s="1"/>
  <c r="R47" i="7" s="1"/>
  <c r="O55" i="7"/>
  <c r="Q55" i="7" s="1"/>
  <c r="R55" i="7" s="1"/>
  <c r="O63" i="7"/>
  <c r="Q63" i="7" s="1"/>
  <c r="R63" i="7" s="1"/>
  <c r="P8" i="7"/>
  <c r="P24" i="7"/>
  <c r="P40" i="7"/>
  <c r="P48" i="7"/>
  <c r="O29" i="7"/>
  <c r="Q29" i="7" s="1"/>
  <c r="R29" i="7" s="1"/>
  <c r="O6" i="7"/>
  <c r="Q6" i="7" s="1"/>
  <c r="R6" i="7" s="1"/>
  <c r="O22" i="7"/>
  <c r="Q22" i="7" s="1"/>
  <c r="R22" i="7" s="1"/>
  <c r="O30" i="7"/>
  <c r="Q30" i="7" s="1"/>
  <c r="R30" i="7" s="1"/>
  <c r="O38" i="7"/>
  <c r="Q38" i="7" s="1"/>
  <c r="R38" i="7" s="1"/>
  <c r="O46" i="7"/>
  <c r="Q46" i="7" s="1"/>
  <c r="R46" i="7" s="1"/>
  <c r="O54" i="7"/>
  <c r="Q54" i="7" s="1"/>
  <c r="R54" i="7" s="1"/>
  <c r="O70" i="7"/>
  <c r="Q70" i="7" s="1"/>
  <c r="R70" i="7" s="1"/>
  <c r="P15" i="7"/>
  <c r="P31" i="7"/>
  <c r="P47" i="7"/>
  <c r="P63" i="7"/>
  <c r="O15" i="7"/>
  <c r="Q15" i="7" s="1"/>
  <c r="R15" i="7" s="1"/>
  <c r="O71" i="7"/>
  <c r="Q71" i="7" s="1"/>
  <c r="R71" i="7" s="1"/>
  <c r="P16" i="7"/>
  <c r="P32" i="7"/>
  <c r="P56" i="7"/>
  <c r="O9" i="7"/>
  <c r="Q9" i="7" s="1"/>
  <c r="R9" i="7" s="1"/>
  <c r="O17" i="7"/>
  <c r="Q17" i="7" s="1"/>
  <c r="R17" i="7" s="1"/>
  <c r="O25" i="7"/>
  <c r="Q25" i="7" s="1"/>
  <c r="R25" i="7" s="1"/>
  <c r="O33" i="7"/>
  <c r="Q33" i="7" s="1"/>
  <c r="R33" i="7" s="1"/>
  <c r="O41" i="7"/>
  <c r="Q41" i="7" s="1"/>
  <c r="R41" i="7" s="1"/>
  <c r="O49" i="7"/>
  <c r="Q49" i="7" s="1"/>
  <c r="R49" i="7" s="1"/>
  <c r="O57" i="7"/>
  <c r="Q57" i="7" s="1"/>
  <c r="R57" i="7" s="1"/>
  <c r="O65" i="7"/>
  <c r="Q65" i="7" s="1"/>
  <c r="R65" i="7" s="1"/>
  <c r="O2" i="7"/>
  <c r="Q2" i="7" s="1"/>
  <c r="P10" i="7"/>
  <c r="P18" i="7"/>
  <c r="P26" i="7"/>
  <c r="P34" i="7"/>
  <c r="P42" i="7"/>
  <c r="P65" i="7"/>
  <c r="P43" i="7"/>
  <c r="P11" i="7"/>
  <c r="O50" i="7"/>
  <c r="Q50" i="7" s="1"/>
  <c r="R50" i="7" s="1"/>
  <c r="O18" i="7"/>
  <c r="Q18" i="7" s="1"/>
  <c r="P64" i="7"/>
  <c r="P41" i="7"/>
  <c r="P9" i="7"/>
  <c r="O48" i="7"/>
  <c r="Q48" i="7" s="1"/>
  <c r="R48" i="7" s="1"/>
  <c r="O16" i="7"/>
  <c r="Q16" i="7" s="1"/>
  <c r="R16" i="7" s="1"/>
  <c r="P59" i="7"/>
  <c r="P35" i="7"/>
  <c r="P3" i="7"/>
  <c r="O42" i="7"/>
  <c r="Q42" i="7" s="1"/>
  <c r="R42" i="7" s="1"/>
  <c r="O10" i="7"/>
  <c r="Q10" i="7" s="1"/>
  <c r="R10" i="7" s="1"/>
  <c r="P58" i="7"/>
  <c r="P33" i="7"/>
  <c r="O72" i="7"/>
  <c r="Q72" i="7" s="1"/>
  <c r="R72" i="7" s="1"/>
  <c r="O40" i="7"/>
  <c r="Q40" i="7" s="1"/>
  <c r="R40" i="7" s="1"/>
  <c r="O8" i="7"/>
  <c r="Q8" i="7" s="1"/>
  <c r="R8" i="7" s="1"/>
  <c r="R18" i="7"/>
  <c r="R26" i="7"/>
  <c r="R61" i="7"/>
  <c r="R2" i="7"/>
  <c r="I44" i="7"/>
  <c r="K44" i="7" s="1"/>
  <c r="I21" i="7"/>
  <c r="K21" i="7" s="1"/>
  <c r="I52" i="7"/>
  <c r="K52" i="7" s="1"/>
  <c r="I36" i="7"/>
  <c r="K36" i="7" s="1"/>
  <c r="I28" i="7"/>
  <c r="K28" i="7" s="1"/>
  <c r="I60" i="7"/>
  <c r="K60" i="7" s="1"/>
  <c r="I20" i="7"/>
  <c r="K20" i="7" s="1"/>
  <c r="I29" i="7"/>
  <c r="K29" i="7" s="1"/>
  <c r="I69" i="7"/>
  <c r="K69" i="7" s="1"/>
  <c r="I68" i="7"/>
  <c r="K68" i="7" s="1"/>
  <c r="I59" i="7"/>
  <c r="K59" i="7" s="1"/>
  <c r="I43" i="7"/>
  <c r="K43" i="7" s="1"/>
  <c r="I27" i="7"/>
  <c r="K27" i="7" s="1"/>
  <c r="I11" i="7"/>
  <c r="K11" i="7" s="1"/>
  <c r="I58" i="7"/>
  <c r="K58" i="7" s="1"/>
  <c r="I42" i="7"/>
  <c r="K42" i="7" s="1"/>
  <c r="I18" i="7"/>
  <c r="K18" i="7" s="1"/>
  <c r="I67" i="7"/>
  <c r="K67" i="7" s="1"/>
  <c r="I51" i="7"/>
  <c r="K51" i="7" s="1"/>
  <c r="I35" i="7"/>
  <c r="K35" i="7" s="1"/>
  <c r="I19" i="7"/>
  <c r="K19" i="7" s="1"/>
  <c r="I50" i="7"/>
  <c r="K50" i="7" s="1"/>
  <c r="I55" i="7"/>
  <c r="K55" i="7" s="1"/>
  <c r="I31" i="7"/>
  <c r="K31" i="7" s="1"/>
  <c r="I15" i="7"/>
  <c r="K15" i="7" s="1"/>
  <c r="I33" i="7"/>
  <c r="K33" i="7" s="1"/>
  <c r="I17" i="7"/>
  <c r="K17" i="7" s="1"/>
  <c r="I9" i="7"/>
  <c r="K9" i="7" s="1"/>
  <c r="I56" i="7"/>
  <c r="K56" i="7" s="1"/>
  <c r="I62" i="7"/>
  <c r="K62" i="7" s="1"/>
  <c r="I54" i="7"/>
  <c r="K54" i="7" s="1"/>
  <c r="I5" i="7"/>
  <c r="K5" i="7" s="1"/>
  <c r="I4" i="7"/>
  <c r="K4" i="7" s="1"/>
  <c r="I10" i="7"/>
  <c r="K10" i="7" s="1"/>
  <c r="I3" i="7"/>
  <c r="K3" i="7" s="1"/>
  <c r="I6" i="7"/>
  <c r="K6" i="7" s="1"/>
  <c r="I13" i="7"/>
  <c r="K13" i="7" s="1"/>
  <c r="M29" i="7"/>
  <c r="I71" i="7"/>
  <c r="K71" i="7" s="1"/>
  <c r="M55" i="7"/>
  <c r="M21" i="7"/>
  <c r="I47" i="7"/>
  <c r="K47" i="7" s="1"/>
  <c r="I72" i="7"/>
  <c r="K72" i="7" s="1"/>
  <c r="I32" i="7"/>
  <c r="K32" i="7" s="1"/>
  <c r="I24" i="7"/>
  <c r="K24" i="7" s="1"/>
  <c r="M56" i="7"/>
  <c r="I23" i="7"/>
  <c r="K23" i="7" s="1"/>
  <c r="M17" i="7"/>
  <c r="I2" i="7"/>
  <c r="K2" i="7" s="1"/>
  <c r="I41" i="7"/>
  <c r="K41" i="7" s="1"/>
  <c r="I65" i="7"/>
  <c r="K65" i="7" s="1"/>
  <c r="I37" i="7"/>
  <c r="K37" i="7" s="1"/>
  <c r="I40" i="7"/>
  <c r="K40" i="7" s="1"/>
  <c r="I64" i="7"/>
  <c r="K64" i="7" s="1"/>
  <c r="I39" i="7"/>
  <c r="K39" i="7" s="1"/>
  <c r="I63" i="7"/>
  <c r="K63" i="7" s="1"/>
  <c r="M27" i="7"/>
  <c r="I57" i="7"/>
  <c r="K57" i="7" s="1"/>
  <c r="M69" i="7"/>
  <c r="I45" i="7"/>
  <c r="K45" i="7" s="1"/>
  <c r="I25" i="7"/>
  <c r="K25" i="7" s="1"/>
  <c r="I46" i="7"/>
  <c r="K46" i="7" s="1"/>
  <c r="I14" i="7"/>
  <c r="K14" i="7" s="1"/>
  <c r="I8" i="7"/>
  <c r="K8" i="7" s="1"/>
  <c r="I22" i="7"/>
  <c r="K22" i="7" s="1"/>
  <c r="I53" i="7"/>
  <c r="K53" i="7" s="1"/>
  <c r="I30" i="7"/>
  <c r="K30" i="7" s="1"/>
  <c r="M5" i="7"/>
  <c r="I61" i="7"/>
  <c r="K61" i="7" s="1"/>
  <c r="I49" i="7"/>
  <c r="K49" i="7" s="1"/>
  <c r="I7" i="7"/>
  <c r="K7" i="7" s="1"/>
  <c r="I70" i="7"/>
  <c r="K70" i="7" s="1"/>
  <c r="I48" i="7"/>
  <c r="K48" i="7" s="1"/>
  <c r="I38" i="7"/>
  <c r="K38" i="7" s="1"/>
  <c r="I16" i="7"/>
  <c r="K16" i="7" s="1"/>
  <c r="M58" i="7"/>
  <c r="M42" i="7"/>
  <c r="M18" i="7"/>
  <c r="I66" i="7"/>
  <c r="K66" i="7" s="1"/>
  <c r="I34" i="7"/>
  <c r="K34" i="7" s="1"/>
  <c r="I26" i="7"/>
  <c r="K26" i="7" s="1"/>
  <c r="M52" i="7"/>
  <c r="I12" i="7"/>
  <c r="K12" i="7" s="1"/>
  <c r="M33" i="7"/>
  <c r="M28" i="7"/>
  <c r="M54" i="7"/>
  <c r="M68" i="7"/>
  <c r="M60" i="7"/>
  <c r="M36" i="7"/>
  <c r="M4" i="7"/>
  <c r="M44" i="7"/>
  <c r="M62" i="7"/>
  <c r="M6" i="7"/>
  <c r="M19" i="7"/>
  <c r="M3" i="7"/>
  <c r="M43" i="7"/>
  <c r="M59" i="7"/>
  <c r="M11" i="7"/>
  <c r="M35" i="7"/>
  <c r="M51" i="7"/>
  <c r="M67" i="7"/>
  <c r="M9" i="7"/>
  <c r="M20" i="7"/>
  <c r="M15" i="7"/>
  <c r="M31" i="7"/>
  <c r="M10" i="7"/>
  <c r="M50" i="7"/>
  <c r="G13" i="5"/>
  <c r="N10" i="5"/>
  <c r="N5" i="5"/>
  <c r="N4" i="5"/>
  <c r="L6" i="5"/>
  <c r="N11" i="5"/>
  <c r="N7" i="5"/>
  <c r="N8" i="5"/>
  <c r="N9" i="5"/>
  <c r="C19" i="2"/>
  <c r="C21" i="2" s="1"/>
  <c r="B19" i="2"/>
  <c r="B21" i="2" s="1"/>
  <c r="F9" i="9" l="1"/>
  <c r="F10" i="9" s="1"/>
  <c r="F16" i="9" s="1"/>
  <c r="F20" i="9" s="1"/>
  <c r="F3" i="9"/>
  <c r="F8" i="9" s="1"/>
  <c r="B9" i="9"/>
  <c r="B3" i="9"/>
  <c r="B8" i="9" s="1"/>
  <c r="B8" i="5"/>
  <c r="B2" i="5"/>
  <c r="D10" i="9"/>
  <c r="D16" i="9" s="1"/>
  <c r="D20" i="9" s="1"/>
  <c r="J10" i="5"/>
  <c r="J6" i="5"/>
  <c r="J8" i="5"/>
  <c r="J9" i="5"/>
  <c r="J4" i="5"/>
  <c r="J5" i="5"/>
  <c r="M6" i="5"/>
  <c r="N6" i="5" s="1"/>
  <c r="D21" i="9" l="1"/>
  <c r="D22" i="9" s="1"/>
  <c r="F21" i="9"/>
  <c r="F22" i="9"/>
  <c r="B10" i="9"/>
  <c r="B16" i="9" s="1"/>
  <c r="B20" i="9" s="1"/>
  <c r="B7" i="5"/>
  <c r="B21" i="9" l="1"/>
  <c r="B22" i="9"/>
  <c r="B9" i="5"/>
  <c r="P7" i="5" l="1"/>
  <c r="B15" i="5"/>
  <c r="B19" i="5" s="1"/>
  <c r="B20" i="5" s="1"/>
  <c r="B21" i="5" s="1"/>
</calcChain>
</file>

<file path=xl/comments1.xml><?xml version="1.0" encoding="utf-8"?>
<comments xmlns="http://schemas.openxmlformats.org/spreadsheetml/2006/main">
  <authors>
    <author>Michael</author>
  </authors>
  <commentList>
    <comment ref="H4" authorId="0">
      <text>
        <r>
          <rPr>
            <sz val="9"/>
            <color indexed="81"/>
            <rFont val="Tahoma"/>
            <family val="2"/>
          </rPr>
          <t>$16,000</t>
        </r>
      </text>
    </comment>
    <comment ref="H5" authorId="0">
      <text>
        <r>
          <rPr>
            <sz val="9"/>
            <color indexed="81"/>
            <rFont val="Tahoma"/>
            <family val="2"/>
          </rPr>
          <t>$13,000</t>
        </r>
      </text>
    </comment>
    <comment ref="I6" authorId="0">
      <text>
        <r>
          <rPr>
            <sz val="9"/>
            <color indexed="81"/>
            <rFont val="Tahoma"/>
            <family val="2"/>
          </rPr>
          <t>$10,000</t>
        </r>
      </text>
    </comment>
    <comment ref="F7" authorId="0">
      <text>
        <r>
          <rPr>
            <sz val="9"/>
            <color indexed="81"/>
            <rFont val="Tahoma"/>
            <family val="2"/>
          </rPr>
          <t>H-D Adv. Budget in Millions</t>
        </r>
      </text>
    </comment>
    <comment ref="H7" authorId="0">
      <text>
        <r>
          <rPr>
            <sz val="9"/>
            <color indexed="81"/>
            <rFont val="Tahoma"/>
            <family val="2"/>
          </rPr>
          <t>$300M</t>
        </r>
      </text>
    </comment>
    <comment ref="F8" authorId="0">
      <text>
        <r>
          <rPr>
            <sz val="9"/>
            <color indexed="81"/>
            <rFont val="Tahoma"/>
            <family val="2"/>
          </rPr>
          <t>Average Income of a street rider</t>
        </r>
      </text>
    </comment>
    <comment ref="H8" authorId="0">
      <text>
        <r>
          <rPr>
            <sz val="9"/>
            <color indexed="81"/>
            <rFont val="Tahoma"/>
            <family val="2"/>
          </rPr>
          <t>$45,000</t>
        </r>
      </text>
    </comment>
    <comment ref="H9" authorId="0">
      <text>
        <r>
          <rPr>
            <sz val="9"/>
            <color indexed="81"/>
            <rFont val="Tahoma"/>
            <family val="2"/>
          </rPr>
          <t>$2.64</t>
        </r>
      </text>
    </comment>
    <comment ref="H10" authorId="0">
      <text>
        <r>
          <rPr>
            <sz val="9"/>
            <color indexed="81"/>
            <rFont val="Tahoma"/>
            <family val="2"/>
          </rPr>
          <t>$500</t>
        </r>
      </text>
    </comment>
    <comment ref="F11" authorId="0">
      <text>
        <r>
          <rPr>
            <sz val="9"/>
            <color indexed="81"/>
            <rFont val="Tahoma"/>
            <family val="2"/>
          </rPr>
          <t>Averge Age of a street rider</t>
        </r>
      </text>
    </comment>
    <comment ref="H11" authorId="0">
      <text>
        <r>
          <rPr>
            <sz val="9"/>
            <color indexed="81"/>
            <rFont val="Tahoma"/>
            <family val="2"/>
          </rPr>
          <t>42 years</t>
        </r>
      </text>
    </comment>
  </commentList>
</comments>
</file>

<file path=xl/comments2.xml><?xml version="1.0" encoding="utf-8"?>
<comments xmlns="http://schemas.openxmlformats.org/spreadsheetml/2006/main">
  <authors>
    <author>Michael</author>
  </authors>
  <commentList>
    <comment ref="R1" authorId="0">
      <text>
        <r>
          <rPr>
            <b/>
            <sz val="9"/>
            <color indexed="81"/>
            <rFont val="Tahoma"/>
            <family val="2"/>
          </rPr>
          <t>Michael:</t>
        </r>
        <r>
          <rPr>
            <sz val="9"/>
            <color indexed="81"/>
            <rFont val="Tahoma"/>
            <family val="2"/>
          </rPr>
          <t xml:space="preserve">
Motorcycle Operating Profits</t>
        </r>
      </text>
    </comment>
  </commentList>
</comments>
</file>

<file path=xl/sharedStrings.xml><?xml version="1.0" encoding="utf-8"?>
<sst xmlns="http://schemas.openxmlformats.org/spreadsheetml/2006/main" count="195" uniqueCount="122">
  <si>
    <t xml:space="preserve">   Parts &amp; Accessories</t>
  </si>
  <si>
    <t xml:space="preserve">   General Merchandise</t>
  </si>
  <si>
    <t xml:space="preserve">   Defense and Other</t>
  </si>
  <si>
    <t>Gross Profit</t>
  </si>
  <si>
    <t>Total Operating Income</t>
  </si>
  <si>
    <t>Investment Income</t>
  </si>
  <si>
    <t>Interest Expense</t>
  </si>
  <si>
    <t>Income Before Provision for Taxes</t>
  </si>
  <si>
    <t>Provision for Income Taxes</t>
  </si>
  <si>
    <t>Net Income</t>
  </si>
  <si>
    <t>Current assets:</t>
  </si>
  <si>
    <t xml:space="preserve">   Cash and cash equivalents</t>
  </si>
  <si>
    <t xml:space="preserve">   Marketable Securities</t>
  </si>
  <si>
    <t xml:space="preserve">   Accounts receivable, net</t>
  </si>
  <si>
    <t xml:space="preserve">   Finance receivables held for sale</t>
  </si>
  <si>
    <t xml:space="preserve">   Finance receivables held for investment, net</t>
  </si>
  <si>
    <t xml:space="preserve">   Inventories</t>
  </si>
  <si>
    <t xml:space="preserve">   Deferred income taxes</t>
  </si>
  <si>
    <t xml:space="preserve">   Prepaid expenses and other current assets</t>
  </si>
  <si>
    <t xml:space="preserve">      Total current assets</t>
  </si>
  <si>
    <t>Finance receivables held for investment, net</t>
  </si>
  <si>
    <t>Property, plant and equip, net</t>
  </si>
  <si>
    <t>Goodwill</t>
  </si>
  <si>
    <t xml:space="preserve">      Total assets</t>
  </si>
  <si>
    <t>Current liabilities:</t>
  </si>
  <si>
    <t xml:space="preserve">   Accounts payable</t>
  </si>
  <si>
    <t xml:space="preserve">   Accrued &amp; other liabilities</t>
  </si>
  <si>
    <t xml:space="preserve">   Current portion of finance debt</t>
  </si>
  <si>
    <t xml:space="preserve">      Total current liabilities</t>
  </si>
  <si>
    <t>Finance debt</t>
  </si>
  <si>
    <t>Deferred income taxes</t>
  </si>
  <si>
    <t>Postretirement health care benefits</t>
  </si>
  <si>
    <t>Shareholders' equity</t>
  </si>
  <si>
    <t xml:space="preserve">   Common stock</t>
  </si>
  <si>
    <t xml:space="preserve">   Additional paid in capital</t>
  </si>
  <si>
    <t xml:space="preserve">   Retained earnings</t>
  </si>
  <si>
    <t xml:space="preserve">   Treasury stock</t>
  </si>
  <si>
    <t xml:space="preserve">      Total shareholders' equity</t>
  </si>
  <si>
    <t>Total Revenue</t>
  </si>
  <si>
    <t>Revenue</t>
  </si>
  <si>
    <t>Cost of Product</t>
  </si>
  <si>
    <t>Assets</t>
  </si>
  <si>
    <t>Other assets</t>
  </si>
  <si>
    <t>Liabilities and Equity</t>
  </si>
  <si>
    <t xml:space="preserve">   Accumulated other  income (loss)</t>
  </si>
  <si>
    <t>Total liabilities and equity</t>
  </si>
  <si>
    <t>Other long-term liabilities</t>
  </si>
  <si>
    <t xml:space="preserve">   H-D Motorcycle</t>
  </si>
  <si>
    <t xml:space="preserve">   Buell Motorcycle</t>
  </si>
  <si>
    <t>Finance Operating Income</t>
  </si>
  <si>
    <t>Operating Expense</t>
  </si>
  <si>
    <t>Corporate Operating Expense</t>
  </si>
  <si>
    <t>Inter</t>
  </si>
  <si>
    <t>Income Before Taxes</t>
  </si>
  <si>
    <t>Income Taxes</t>
  </si>
  <si>
    <t>Sales</t>
  </si>
  <si>
    <t xml:space="preserve">   H-D / Buell Motorcycle</t>
  </si>
  <si>
    <t>Gross Margin from Mil Adv</t>
  </si>
  <si>
    <t>Expense</t>
  </si>
  <si>
    <t xml:space="preserve">   Operating Expense</t>
  </si>
  <si>
    <t xml:space="preserve">   Advertising Expense</t>
  </si>
  <si>
    <t xml:space="preserve">   Finance Operating Income</t>
  </si>
  <si>
    <t xml:space="preserve">   Corporate Expense</t>
  </si>
  <si>
    <t>Q</t>
  </si>
  <si>
    <t>TC</t>
  </si>
  <si>
    <t>Margin</t>
  </si>
  <si>
    <t>Elast.</t>
  </si>
  <si>
    <t>Coef.</t>
  </si>
  <si>
    <t>Level</t>
  </si>
  <si>
    <t>H-D Price</t>
  </si>
  <si>
    <t>Comp. Price</t>
  </si>
  <si>
    <t>Used H-D Price</t>
  </si>
  <si>
    <t>H-D Adv. Exp.</t>
  </si>
  <si>
    <t>Gas Price</t>
  </si>
  <si>
    <t>Parts / Mer Price</t>
  </si>
  <si>
    <t>Rider Age</t>
  </si>
  <si>
    <t>Rider Income</t>
  </si>
  <si>
    <t>Motorcycle Sales</t>
  </si>
  <si>
    <t>Tax Rate</t>
  </si>
  <si>
    <t>Demand</t>
  </si>
  <si>
    <t>Q=619.4-.022P</t>
  </si>
  <si>
    <t>Q - 619.4 = -0.022P</t>
  </si>
  <si>
    <t>TR=28154.545Q-45.45455Q^2</t>
  </si>
  <si>
    <t>MR=28154.545-90.90809Q</t>
  </si>
  <si>
    <t>Coef1</t>
  </si>
  <si>
    <t>Coef2</t>
  </si>
  <si>
    <t>Coef3</t>
  </si>
  <si>
    <t>MC</t>
  </si>
  <si>
    <t>ATC</t>
  </si>
  <si>
    <t>AVC</t>
  </si>
  <si>
    <t>TFC</t>
  </si>
  <si>
    <t>TVC</t>
  </si>
  <si>
    <t>AFC</t>
  </si>
  <si>
    <t>`</t>
  </si>
  <si>
    <t>Price</t>
  </si>
  <si>
    <t>MR</t>
  </si>
  <si>
    <t>Coef4</t>
  </si>
  <si>
    <t>Exp1</t>
  </si>
  <si>
    <t>Exp2</t>
  </si>
  <si>
    <t>Cost Function</t>
  </si>
  <si>
    <t>TR</t>
  </si>
  <si>
    <t>Profit</t>
  </si>
  <si>
    <t>Fixed Cost</t>
  </si>
  <si>
    <t>Intercept</t>
  </si>
  <si>
    <t>Beta</t>
  </si>
  <si>
    <t>Inverse Intercept</t>
  </si>
  <si>
    <t>Inverse Beta</t>
  </si>
  <si>
    <t>Mil</t>
  </si>
  <si>
    <t>Years</t>
  </si>
  <si>
    <t>Total Cost Function</t>
  </si>
  <si>
    <t>Demand Function</t>
  </si>
  <si>
    <t>Conf. Low</t>
  </si>
  <si>
    <t>Conf. High</t>
  </si>
  <si>
    <t>Std. Error</t>
  </si>
  <si>
    <t>Critical-t</t>
  </si>
  <si>
    <t>Low</t>
  </si>
  <si>
    <t>High</t>
  </si>
  <si>
    <t>Variable</t>
  </si>
  <si>
    <t>Variables</t>
  </si>
  <si>
    <t>Variable Name</t>
  </si>
  <si>
    <t>Only change numbers in light blue</t>
  </si>
  <si>
    <t>P=28154.545-45.45455Q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</si>
</sst>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&quot;$&quot;#,##0"/>
    <numFmt numFmtId="165" formatCode="&quot;$&quot;#,##0.00"/>
    <numFmt numFmtId="166" formatCode="_(* #,##0_);_(* \(#,##0\);_(* &quot;-&quot;??_);_(@_)"/>
    <numFmt numFmtId="167" formatCode="#,##0.0"/>
    <numFmt numFmtId="168" formatCode="0.0"/>
    <numFmt numFmtId="169" formatCode="#,##0.000"/>
    <numFmt numFmtId="170" formatCode="#,##0.0000"/>
  </numFmts>
  <fonts count="23" x14ac:knownFonts="1">
    <font>
      <sz val="11"/>
      <color theme="1"/>
      <name val="Calibri"/>
      <family val="2"/>
      <scheme val="minor"/>
    </font>
    <font>
      <sz val="8"/>
      <color rgb="FF000000"/>
      <name val="Verdana"/>
      <family val="2"/>
    </font>
    <font>
      <b/>
      <sz val="8"/>
      <color rgb="FF000000"/>
      <name val="Verdana"/>
      <family val="2"/>
    </font>
    <font>
      <b/>
      <i/>
      <sz val="8"/>
      <color rgb="FF000000"/>
      <name val="Verdan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i/>
      <sz val="8"/>
      <color theme="4"/>
      <name val="Verdana"/>
      <family val="2"/>
    </font>
    <font>
      <i/>
      <sz val="8"/>
      <color theme="4"/>
      <name val="Verdana"/>
      <family val="2"/>
    </font>
    <font>
      <sz val="11"/>
      <color theme="4"/>
      <name val="Calibri"/>
      <family val="2"/>
      <scheme val="minor"/>
    </font>
    <font>
      <i/>
      <sz val="11"/>
      <color theme="4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4"/>
      <name val="Calibri"/>
      <family val="2"/>
      <scheme val="minor"/>
    </font>
    <font>
      <b/>
      <i/>
      <sz val="11"/>
      <color theme="4"/>
      <name val="Calibri"/>
      <family val="2"/>
      <scheme val="minor"/>
    </font>
    <font>
      <b/>
      <sz val="9"/>
      <color theme="9"/>
      <name val="Calibri"/>
      <family val="2"/>
      <scheme val="minor"/>
    </font>
    <font>
      <b/>
      <sz val="11"/>
      <color theme="4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8"/>
      <color theme="1"/>
      <name val="Verdana"/>
      <family val="2"/>
    </font>
    <font>
      <i/>
      <sz val="8"/>
      <color theme="1"/>
      <name val="Verdana"/>
      <family val="2"/>
    </font>
    <font>
      <sz val="11"/>
      <color rgb="FF000000"/>
      <name val="Calibri"/>
      <family val="2"/>
      <scheme val="minor"/>
    </font>
    <font>
      <sz val="8"/>
      <color theme="4"/>
      <name val="Verdana"/>
      <family val="2"/>
    </font>
    <font>
      <b/>
      <sz val="9"/>
      <color theme="1"/>
      <name val="Calibri"/>
      <family val="2"/>
      <scheme val="minor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0" applyFont="1" applyAlignment="1">
      <alignment wrapText="1"/>
    </xf>
    <xf numFmtId="164" fontId="1" fillId="0" borderId="0" xfId="0" applyNumberFormat="1" applyFont="1" applyAlignment="1">
      <alignment horizontal="right" wrapText="1"/>
    </xf>
    <xf numFmtId="164" fontId="1" fillId="0" borderId="0" xfId="0" applyNumberFormat="1" applyFont="1" applyAlignment="1">
      <alignment wrapText="1"/>
    </xf>
    <xf numFmtId="164" fontId="0" fillId="0" borderId="0" xfId="0" applyNumberForma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164" fontId="3" fillId="0" borderId="0" xfId="0" applyNumberFormat="1" applyFont="1" applyAlignment="1">
      <alignment horizontal="right" wrapText="1"/>
    </xf>
    <xf numFmtId="0" fontId="3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164" fontId="1" fillId="0" borderId="0" xfId="0" applyNumberFormat="1" applyFont="1" applyAlignment="1"/>
    <xf numFmtId="164" fontId="3" fillId="0" borderId="0" xfId="0" applyNumberFormat="1" applyFont="1" applyAlignment="1">
      <alignment wrapText="1"/>
    </xf>
    <xf numFmtId="4" fontId="0" fillId="0" borderId="0" xfId="0" applyNumberFormat="1"/>
    <xf numFmtId="165" fontId="0" fillId="0" borderId="0" xfId="0" applyNumberFormat="1"/>
    <xf numFmtId="3" fontId="0" fillId="0" borderId="0" xfId="1" applyNumberFormat="1" applyFont="1"/>
    <xf numFmtId="3" fontId="0" fillId="0" borderId="0" xfId="0" applyNumberFormat="1"/>
    <xf numFmtId="0" fontId="0" fillId="0" borderId="0" xfId="1" applyNumberFormat="1" applyFont="1"/>
    <xf numFmtId="0" fontId="0" fillId="0" borderId="0" xfId="0" applyFill="1" applyBorder="1" applyAlignment="1">
      <alignment horizontal="left" wrapText="1"/>
    </xf>
    <xf numFmtId="0" fontId="0" fillId="0" borderId="0" xfId="0" applyAlignment="1">
      <alignment horizontal="center"/>
    </xf>
    <xf numFmtId="166" fontId="0" fillId="0" borderId="0" xfId="1" applyNumberFormat="1" applyFont="1"/>
    <xf numFmtId="1" fontId="0" fillId="0" borderId="0" xfId="1" applyNumberFormat="1" applyFont="1"/>
    <xf numFmtId="0" fontId="0" fillId="0" borderId="0" xfId="0" applyFont="1"/>
    <xf numFmtId="167" fontId="0" fillId="0" borderId="0" xfId="0" applyNumberFormat="1"/>
    <xf numFmtId="168" fontId="0" fillId="0" borderId="0" xfId="0" applyNumberFormat="1"/>
    <xf numFmtId="0" fontId="0" fillId="0" borderId="0" xfId="0" applyAlignment="1">
      <alignment horizontal="right"/>
    </xf>
    <xf numFmtId="164" fontId="7" fillId="0" borderId="0" xfId="0" applyNumberFormat="1" applyFont="1" applyAlignment="1">
      <alignment horizontal="right" wrapText="1"/>
    </xf>
    <xf numFmtId="164" fontId="7" fillId="0" borderId="0" xfId="0" applyNumberFormat="1" applyFont="1" applyAlignment="1">
      <alignment wrapText="1"/>
    </xf>
    <xf numFmtId="164" fontId="8" fillId="0" borderId="0" xfId="0" applyNumberFormat="1" applyFont="1" applyAlignment="1">
      <alignment horizontal="right" wrapText="1"/>
    </xf>
    <xf numFmtId="2" fontId="0" fillId="0" borderId="0" xfId="0" applyNumberFormat="1"/>
    <xf numFmtId="1" fontId="0" fillId="0" borderId="0" xfId="0" applyNumberFormat="1"/>
    <xf numFmtId="169" fontId="0" fillId="0" borderId="0" xfId="0" applyNumberFormat="1"/>
    <xf numFmtId="167" fontId="0" fillId="0" borderId="0" xfId="1" applyNumberFormat="1" applyFont="1"/>
    <xf numFmtId="164" fontId="9" fillId="0" borderId="0" xfId="0" applyNumberFormat="1" applyFont="1"/>
    <xf numFmtId="165" fontId="9" fillId="0" borderId="0" xfId="0" applyNumberFormat="1" applyFont="1"/>
    <xf numFmtId="164" fontId="0" fillId="0" borderId="0" xfId="0" applyNumberFormat="1" applyFont="1"/>
    <xf numFmtId="165" fontId="0" fillId="0" borderId="0" xfId="0" applyNumberFormat="1" applyFont="1"/>
    <xf numFmtId="164" fontId="9" fillId="0" borderId="0" xfId="0" applyNumberFormat="1" applyFont="1" applyAlignment="1">
      <alignment horizontal="right"/>
    </xf>
    <xf numFmtId="0" fontId="9" fillId="0" borderId="0" xfId="0" applyNumberFormat="1" applyFont="1"/>
    <xf numFmtId="0" fontId="0" fillId="0" borderId="0" xfId="0" quotePrefix="1"/>
    <xf numFmtId="0" fontId="0" fillId="0" borderId="0" xfId="0" quotePrefix="1" applyFill="1" applyBorder="1" applyAlignment="1">
      <alignment horizontal="left"/>
    </xf>
    <xf numFmtId="0" fontId="0" fillId="0" borderId="0" xfId="0"/>
    <xf numFmtId="164" fontId="0" fillId="0" borderId="0" xfId="0" applyNumberFormat="1"/>
    <xf numFmtId="168" fontId="0" fillId="0" borderId="0" xfId="0" applyNumberFormat="1"/>
    <xf numFmtId="0" fontId="11" fillId="0" borderId="0" xfId="0" applyFont="1"/>
    <xf numFmtId="4" fontId="11" fillId="0" borderId="0" xfId="0" applyNumberFormat="1" applyFont="1"/>
    <xf numFmtId="164" fontId="11" fillId="0" borderId="0" xfId="0" applyNumberFormat="1" applyFont="1"/>
    <xf numFmtId="3" fontId="11" fillId="0" borderId="0" xfId="1" applyNumberFormat="1" applyFont="1"/>
    <xf numFmtId="167" fontId="11" fillId="0" borderId="0" xfId="0" applyNumberFormat="1" applyFont="1"/>
    <xf numFmtId="0" fontId="5" fillId="0" borderId="0" xfId="0" applyFont="1"/>
    <xf numFmtId="0" fontId="0" fillId="0" borderId="0" xfId="0" applyFont="1" applyAlignment="1">
      <alignment horizontal="left"/>
    </xf>
    <xf numFmtId="1" fontId="0" fillId="0" borderId="0" xfId="0" applyNumberFormat="1" applyFont="1" applyAlignment="1">
      <alignment horizontal="left"/>
    </xf>
    <xf numFmtId="164" fontId="12" fillId="0" borderId="0" xfId="0" applyNumberFormat="1" applyFont="1"/>
    <xf numFmtId="0" fontId="12" fillId="0" borderId="0" xfId="0" applyNumberFormat="1" applyFont="1"/>
    <xf numFmtId="165" fontId="12" fillId="0" borderId="0" xfId="0" applyNumberFormat="1" applyFont="1"/>
    <xf numFmtId="167" fontId="13" fillId="0" borderId="0" xfId="0" applyNumberFormat="1" applyFont="1"/>
    <xf numFmtId="170" fontId="11" fillId="0" borderId="0" xfId="0" applyNumberFormat="1" applyFont="1"/>
    <xf numFmtId="164" fontId="10" fillId="0" borderId="0" xfId="0" applyNumberFormat="1" applyFont="1"/>
    <xf numFmtId="165" fontId="10" fillId="0" borderId="0" xfId="0" applyNumberFormat="1" applyFont="1"/>
    <xf numFmtId="0" fontId="10" fillId="0" borderId="0" xfId="0" applyFont="1"/>
    <xf numFmtId="0" fontId="13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167" fontId="16" fillId="0" borderId="0" xfId="0" applyNumberFormat="1" applyFont="1"/>
    <xf numFmtId="164" fontId="17" fillId="0" borderId="0" xfId="0" applyNumberFormat="1" applyFont="1" applyAlignment="1">
      <alignment wrapText="1"/>
    </xf>
    <xf numFmtId="0" fontId="18" fillId="0" borderId="0" xfId="0" applyFont="1"/>
    <xf numFmtId="0" fontId="0" fillId="0" borderId="0" xfId="0" applyFont="1" applyAlignment="1">
      <alignment horizontal="right"/>
    </xf>
    <xf numFmtId="2" fontId="0" fillId="0" borderId="0" xfId="0" applyNumberFormat="1" applyFont="1"/>
    <xf numFmtId="0" fontId="0" fillId="0" borderId="0" xfId="0" applyNumberFormat="1" applyFont="1"/>
    <xf numFmtId="3" fontId="0" fillId="0" borderId="0" xfId="0" applyNumberFormat="1" applyFont="1"/>
    <xf numFmtId="164" fontId="19" fillId="0" borderId="0" xfId="0" applyNumberFormat="1" applyFont="1" applyAlignment="1">
      <alignment horizontal="left" wrapText="1"/>
    </xf>
    <xf numFmtId="2" fontId="20" fillId="0" borderId="0" xfId="0" applyNumberFormat="1" applyFont="1"/>
    <xf numFmtId="2" fontId="10" fillId="0" borderId="0" xfId="0" applyNumberFormat="1" applyFont="1"/>
    <xf numFmtId="0" fontId="11" fillId="0" borderId="0" xfId="0" applyFont="1" applyAlignment="1">
      <alignment horizontal="center"/>
    </xf>
    <xf numFmtId="164" fontId="11" fillId="0" borderId="0" xfId="0" applyNumberFormat="1" applyFont="1" applyAlignment="1">
      <alignment horizontal="center"/>
    </xf>
    <xf numFmtId="0" fontId="11" fillId="0" borderId="0" xfId="0" applyFont="1" applyFill="1" applyAlignment="1">
      <alignment horizontal="center"/>
    </xf>
    <xf numFmtId="164" fontId="11" fillId="0" borderId="0" xfId="0" applyNumberFormat="1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164" fontId="14" fillId="0" borderId="0" xfId="0" applyNumberFormat="1" applyFont="1" applyFill="1" applyAlignment="1">
      <alignment horizontal="center"/>
    </xf>
    <xf numFmtId="0" fontId="21" fillId="0" borderId="0" xfId="0" applyFont="1" applyAlignment="1">
      <alignment horizontal="center"/>
    </xf>
    <xf numFmtId="164" fontId="21" fillId="0" borderId="0" xfId="0" applyNumberFormat="1" applyFont="1" applyAlignment="1">
      <alignment horizontal="center"/>
    </xf>
    <xf numFmtId="164" fontId="18" fillId="0" borderId="0" xfId="0" applyNumberFormat="1" applyFont="1" applyFill="1" applyAlignment="1">
      <alignment horizontal="right" wrapText="1"/>
    </xf>
    <xf numFmtId="0" fontId="9" fillId="0" borderId="0" xfId="0" applyFont="1"/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1"/>
  <sheetViews>
    <sheetView tabSelected="1" workbookViewId="0">
      <selection activeCell="A29" sqref="A29"/>
    </sheetView>
  </sheetViews>
  <sheetFormatPr defaultRowHeight="15" x14ac:dyDescent="0.25"/>
  <cols>
    <col min="1" max="1" width="27.85546875" customWidth="1"/>
    <col min="2" max="2" width="13.28515625" customWidth="1"/>
    <col min="3" max="3" width="7.85546875" customWidth="1"/>
    <col min="4" max="4" width="8.85546875" customWidth="1"/>
    <col min="5" max="5" width="4.28515625" customWidth="1"/>
    <col min="6" max="6" width="15.85546875" customWidth="1"/>
    <col min="7" max="7" width="9.140625" bestFit="1" customWidth="1"/>
    <col min="8" max="8" width="9.140625" customWidth="1"/>
    <col min="9" max="9" width="10.85546875" customWidth="1"/>
    <col min="10" max="10" width="7.85546875" customWidth="1"/>
    <col min="11" max="11" width="3.28515625" customWidth="1"/>
    <col min="12" max="12" width="7.140625" hidden="1" customWidth="1"/>
    <col min="13" max="13" width="6" hidden="1" customWidth="1"/>
    <col min="14" max="14" width="7.28515625" hidden="1" customWidth="1"/>
    <col min="15" max="15" width="3.85546875" hidden="1" customWidth="1"/>
    <col min="16" max="16" width="10.5703125" hidden="1" customWidth="1"/>
    <col min="17" max="17" width="10.28515625" hidden="1" customWidth="1"/>
  </cols>
  <sheetData>
    <row r="1" spans="1:17" x14ac:dyDescent="0.25">
      <c r="A1" s="5" t="s">
        <v>39</v>
      </c>
      <c r="B1" s="6">
        <v>2008</v>
      </c>
      <c r="F1" s="48" t="s">
        <v>110</v>
      </c>
    </row>
    <row r="2" spans="1:17" x14ac:dyDescent="0.25">
      <c r="A2" s="1" t="s">
        <v>56</v>
      </c>
      <c r="B2" s="25">
        <f>H4*G13</f>
        <v>4278400.0000000019</v>
      </c>
      <c r="C2" s="54"/>
      <c r="D2" s="63"/>
      <c r="F2" s="60" t="s">
        <v>119</v>
      </c>
      <c r="G2" s="61" t="s">
        <v>67</v>
      </c>
      <c r="H2" s="61" t="s">
        <v>68</v>
      </c>
      <c r="I2" s="62" t="s">
        <v>118</v>
      </c>
      <c r="J2" s="61" t="s">
        <v>66</v>
      </c>
      <c r="L2" s="24" t="s">
        <v>65</v>
      </c>
    </row>
    <row r="3" spans="1:17" x14ac:dyDescent="0.25">
      <c r="A3" s="1" t="s">
        <v>0</v>
      </c>
      <c r="B3" s="2">
        <v>858748</v>
      </c>
      <c r="D3" s="21"/>
      <c r="F3" t="s">
        <v>52</v>
      </c>
      <c r="G3" s="16">
        <v>-933.88400000000001</v>
      </c>
      <c r="H3">
        <v>1</v>
      </c>
      <c r="N3" s="15">
        <v>1000</v>
      </c>
    </row>
    <row r="4" spans="1:17" x14ac:dyDescent="0.25">
      <c r="A4" s="1" t="s">
        <v>1</v>
      </c>
      <c r="B4" s="2">
        <v>313835</v>
      </c>
      <c r="C4" s="13"/>
      <c r="D4" s="35"/>
      <c r="F4" t="s">
        <v>69</v>
      </c>
      <c r="G4">
        <v>-2.1999999999999999E-2</v>
      </c>
      <c r="H4" s="34">
        <f>I4</f>
        <v>16000</v>
      </c>
      <c r="I4" s="32">
        <v>16000</v>
      </c>
      <c r="J4" s="12">
        <f>G4*(H4/$G$13)</f>
        <v>-1.3163799551234101</v>
      </c>
      <c r="L4">
        <f>1000</f>
        <v>1000</v>
      </c>
      <c r="M4">
        <f t="shared" ref="M4:M11" si="0">G4*L4</f>
        <v>-22</v>
      </c>
      <c r="N4" s="14">
        <f t="shared" ref="N4:N11" si="1">M4*$N$3</f>
        <v>-22000</v>
      </c>
    </row>
    <row r="5" spans="1:17" x14ac:dyDescent="0.25">
      <c r="A5" s="1" t="s">
        <v>48</v>
      </c>
      <c r="B5" s="2">
        <v>123086</v>
      </c>
      <c r="D5" s="21"/>
      <c r="F5" s="17" t="s">
        <v>70</v>
      </c>
      <c r="G5">
        <v>3.8E-3</v>
      </c>
      <c r="H5" s="34">
        <f>I5</f>
        <v>13000</v>
      </c>
      <c r="I5" s="32">
        <v>13000</v>
      </c>
      <c r="J5" s="12">
        <f>G5*(H5/$G$13)</f>
        <v>0.18474195961106948</v>
      </c>
      <c r="L5">
        <v>1000</v>
      </c>
      <c r="M5">
        <f t="shared" si="0"/>
        <v>3.8</v>
      </c>
      <c r="N5" s="14">
        <f t="shared" si="1"/>
        <v>3800</v>
      </c>
    </row>
    <row r="6" spans="1:17" x14ac:dyDescent="0.25">
      <c r="A6" s="1" t="s">
        <v>2</v>
      </c>
      <c r="B6" s="2">
        <v>20397</v>
      </c>
      <c r="D6" s="21"/>
      <c r="F6" s="17" t="s">
        <v>71</v>
      </c>
      <c r="G6">
        <v>143.19999999999999</v>
      </c>
      <c r="H6" s="21">
        <f>(I6/H4)</f>
        <v>0.625</v>
      </c>
      <c r="I6" s="32">
        <v>10000</v>
      </c>
      <c r="J6" s="12">
        <f>G6*(H6/$G$13)</f>
        <v>0.33470456245325342</v>
      </c>
      <c r="L6" s="23">
        <f>(H6/H4)*1000</f>
        <v>3.90625E-2</v>
      </c>
      <c r="M6" s="28">
        <f t="shared" si="0"/>
        <v>5.59375</v>
      </c>
      <c r="N6" s="14">
        <f t="shared" si="1"/>
        <v>5593.75</v>
      </c>
    </row>
    <row r="7" spans="1:17" x14ac:dyDescent="0.25">
      <c r="A7" s="8" t="s">
        <v>38</v>
      </c>
      <c r="B7" s="7">
        <f>SUM(B2:B6)</f>
        <v>5594466.0000000019</v>
      </c>
      <c r="D7" s="21"/>
      <c r="F7" t="s">
        <v>72</v>
      </c>
      <c r="G7">
        <v>0.16</v>
      </c>
      <c r="H7" s="34">
        <f>I7</f>
        <v>300</v>
      </c>
      <c r="I7" s="36">
        <v>300</v>
      </c>
      <c r="J7" s="12"/>
      <c r="L7">
        <v>1</v>
      </c>
      <c r="M7">
        <f t="shared" si="0"/>
        <v>0.16</v>
      </c>
      <c r="N7" s="14">
        <f t="shared" si="1"/>
        <v>160</v>
      </c>
      <c r="P7" s="19" t="e">
        <f>N7*#REF!</f>
        <v>#REF!</v>
      </c>
      <c r="Q7" t="s">
        <v>57</v>
      </c>
    </row>
    <row r="8" spans="1:17" x14ac:dyDescent="0.25">
      <c r="A8" s="8" t="s">
        <v>40</v>
      </c>
      <c r="B8" s="26">
        <f>G17*G13^G16-G19*G13^G18+G20*G13+G21</f>
        <v>3663488.4228799995</v>
      </c>
      <c r="C8" s="11"/>
      <c r="D8" s="64"/>
      <c r="F8" t="s">
        <v>76</v>
      </c>
      <c r="G8">
        <v>2.9000000000000001E-2</v>
      </c>
      <c r="H8" s="34">
        <f>I8</f>
        <v>45000</v>
      </c>
      <c r="I8" s="32">
        <v>45000</v>
      </c>
      <c r="J8" s="12">
        <f>G8*(H8/$G$13)</f>
        <v>4.8803290949887792</v>
      </c>
      <c r="L8">
        <v>1000</v>
      </c>
      <c r="M8">
        <f t="shared" si="0"/>
        <v>29</v>
      </c>
      <c r="N8" s="14">
        <f t="shared" si="1"/>
        <v>29000</v>
      </c>
    </row>
    <row r="9" spans="1:17" x14ac:dyDescent="0.25">
      <c r="A9" s="8" t="s">
        <v>3</v>
      </c>
      <c r="B9" s="7">
        <f>B7-B8</f>
        <v>1930977.5771200024</v>
      </c>
      <c r="D9" s="21"/>
      <c r="F9" t="s">
        <v>73</v>
      </c>
      <c r="G9">
        <v>35.6</v>
      </c>
      <c r="H9" s="35">
        <f>I9</f>
        <v>2.64</v>
      </c>
      <c r="I9" s="33">
        <v>2.64</v>
      </c>
      <c r="J9" s="12">
        <f>G9*(H9/$G$13)</f>
        <v>0.35147344801795055</v>
      </c>
      <c r="L9">
        <v>1</v>
      </c>
      <c r="M9">
        <f t="shared" si="0"/>
        <v>35.6</v>
      </c>
      <c r="N9" s="14">
        <f t="shared" si="1"/>
        <v>35600</v>
      </c>
    </row>
    <row r="10" spans="1:17" x14ac:dyDescent="0.25">
      <c r="A10" s="8" t="s">
        <v>58</v>
      </c>
      <c r="C10" s="4"/>
      <c r="D10" s="34"/>
      <c r="F10" t="s">
        <v>74</v>
      </c>
      <c r="G10">
        <v>-0.46</v>
      </c>
      <c r="H10" s="34">
        <f>I10</f>
        <v>500</v>
      </c>
      <c r="I10" s="32">
        <v>500</v>
      </c>
      <c r="J10" s="12">
        <f>G10*(H10/$G$13)</f>
        <v>-0.86013462976813737</v>
      </c>
      <c r="L10">
        <v>1</v>
      </c>
      <c r="M10">
        <f t="shared" si="0"/>
        <v>-0.46</v>
      </c>
      <c r="N10" s="14">
        <f t="shared" si="1"/>
        <v>-460</v>
      </c>
    </row>
    <row r="11" spans="1:17" x14ac:dyDescent="0.25">
      <c r="A11" s="1" t="s">
        <v>59</v>
      </c>
      <c r="B11" s="81">
        <v>664429</v>
      </c>
      <c r="D11" s="21"/>
      <c r="F11" t="s">
        <v>75</v>
      </c>
      <c r="G11">
        <v>4.7</v>
      </c>
      <c r="H11" s="21">
        <f>I11</f>
        <v>42</v>
      </c>
      <c r="I11" s="37">
        <v>42</v>
      </c>
      <c r="J11" s="12"/>
      <c r="L11">
        <v>1</v>
      </c>
      <c r="M11">
        <f t="shared" si="0"/>
        <v>4.7</v>
      </c>
      <c r="N11" s="14">
        <f t="shared" si="1"/>
        <v>4700</v>
      </c>
    </row>
    <row r="12" spans="1:17" x14ac:dyDescent="0.25">
      <c r="A12" s="1" t="s">
        <v>60</v>
      </c>
      <c r="B12" s="27">
        <f>H7*1000</f>
        <v>300000</v>
      </c>
      <c r="D12" s="21"/>
      <c r="J12" s="12"/>
      <c r="N12" s="20"/>
    </row>
    <row r="13" spans="1:17" x14ac:dyDescent="0.25">
      <c r="A13" s="1" t="s">
        <v>61</v>
      </c>
      <c r="B13" s="2">
        <v>82765</v>
      </c>
      <c r="D13" s="21"/>
      <c r="F13" t="s">
        <v>77</v>
      </c>
      <c r="G13" s="31">
        <f>SUMPRODUCT(G3:G11,H3:H11)</f>
        <v>267.40000000000009</v>
      </c>
      <c r="K13" s="22"/>
      <c r="M13">
        <v>267.39999999999998</v>
      </c>
      <c r="N13" t="s">
        <v>55</v>
      </c>
    </row>
    <row r="14" spans="1:17" x14ac:dyDescent="0.25">
      <c r="A14" s="1" t="s">
        <v>62</v>
      </c>
      <c r="B14" s="2">
        <v>20131</v>
      </c>
      <c r="D14" s="21"/>
      <c r="I14" s="30"/>
    </row>
    <row r="15" spans="1:17" x14ac:dyDescent="0.25">
      <c r="A15" s="8" t="s">
        <v>4</v>
      </c>
      <c r="B15" s="7">
        <f>B9-B11-B12+B13-B14</f>
        <v>1029182.5771200024</v>
      </c>
      <c r="D15" s="21"/>
      <c r="F15" s="48" t="s">
        <v>109</v>
      </c>
      <c r="I15" s="30"/>
      <c r="Q15" s="24"/>
    </row>
    <row r="16" spans="1:17" x14ac:dyDescent="0.25">
      <c r="A16" s="1"/>
      <c r="B16" s="2"/>
      <c r="D16" s="21"/>
      <c r="F16" s="49" t="s">
        <v>97</v>
      </c>
      <c r="G16" s="66">
        <v>3</v>
      </c>
      <c r="Q16" s="28"/>
    </row>
    <row r="17" spans="1:16" x14ac:dyDescent="0.25">
      <c r="A17" s="1" t="s">
        <v>5</v>
      </c>
      <c r="B17" s="2">
        <v>9495</v>
      </c>
      <c r="D17" s="21"/>
      <c r="F17" s="49" t="s">
        <v>84</v>
      </c>
      <c r="G17" s="67">
        <v>0.12</v>
      </c>
    </row>
    <row r="18" spans="1:16" x14ac:dyDescent="0.25">
      <c r="A18" s="1" t="s">
        <v>6</v>
      </c>
      <c r="B18" s="3">
        <v>4542</v>
      </c>
      <c r="D18" s="21"/>
      <c r="F18" s="49" t="s">
        <v>98</v>
      </c>
      <c r="G18" s="21">
        <v>2</v>
      </c>
      <c r="P18" s="29"/>
    </row>
    <row r="19" spans="1:16" x14ac:dyDescent="0.25">
      <c r="A19" s="1" t="s">
        <v>53</v>
      </c>
      <c r="B19" s="2">
        <f>B15+B17-B18</f>
        <v>1034135.5771200024</v>
      </c>
      <c r="D19" s="21"/>
      <c r="F19" s="50" t="s">
        <v>85</v>
      </c>
      <c r="G19" s="68">
        <v>76.5</v>
      </c>
    </row>
    <row r="20" spans="1:16" x14ac:dyDescent="0.25">
      <c r="A20" s="1" t="s">
        <v>54</v>
      </c>
      <c r="B20" s="2">
        <f>B19*C20</f>
        <v>379259</v>
      </c>
      <c r="C20" s="71">
        <v>0.36674011453721633</v>
      </c>
      <c r="D20" s="65" t="s">
        <v>78</v>
      </c>
      <c r="F20" s="49" t="s">
        <v>86</v>
      </c>
      <c r="G20" s="69">
        <v>20000</v>
      </c>
    </row>
    <row r="21" spans="1:16" x14ac:dyDescent="0.25">
      <c r="A21" s="8" t="s">
        <v>9</v>
      </c>
      <c r="B21" s="7">
        <f>B19-B20</f>
        <v>654876.57712000236</v>
      </c>
      <c r="F21" s="70" t="s">
        <v>96</v>
      </c>
      <c r="G21" s="69">
        <v>1491069</v>
      </c>
      <c r="M21" s="4"/>
    </row>
    <row r="23" spans="1:16" x14ac:dyDescent="0.25">
      <c r="M23" s="4"/>
    </row>
    <row r="24" spans="1:16" x14ac:dyDescent="0.25">
      <c r="A24" s="82" t="s">
        <v>120</v>
      </c>
      <c r="E24" s="18"/>
    </row>
    <row r="25" spans="1:16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</row>
    <row r="26" spans="1:16" x14ac:dyDescent="0.25">
      <c r="A26" s="83" t="s">
        <v>79</v>
      </c>
      <c r="E26" s="18"/>
    </row>
    <row r="27" spans="1:16" x14ac:dyDescent="0.25">
      <c r="A27" s="83">
        <f>G3+SUMPRODUCT(G5:G11,H5:H11)</f>
        <v>619.40000000000009</v>
      </c>
      <c r="E27" s="18"/>
    </row>
    <row r="28" spans="1:16" x14ac:dyDescent="0.25">
      <c r="A28" s="84" t="s">
        <v>80</v>
      </c>
      <c r="E28" s="18"/>
    </row>
    <row r="29" spans="1:16" x14ac:dyDescent="0.25">
      <c r="A29" s="39" t="s">
        <v>81</v>
      </c>
      <c r="E29" s="18"/>
    </row>
    <row r="30" spans="1:16" x14ac:dyDescent="0.25">
      <c r="A30" s="39" t="s">
        <v>121</v>
      </c>
      <c r="E30" s="18"/>
    </row>
    <row r="31" spans="1:16" x14ac:dyDescent="0.25">
      <c r="A31" s="38" t="s">
        <v>82</v>
      </c>
      <c r="E31" s="18"/>
    </row>
    <row r="32" spans="1:16" x14ac:dyDescent="0.25">
      <c r="A32" t="s">
        <v>83</v>
      </c>
      <c r="E32" s="18"/>
    </row>
    <row r="33" spans="5:7" x14ac:dyDescent="0.25">
      <c r="E33" s="18"/>
      <c r="G33" s="4"/>
    </row>
    <row r="34" spans="5:7" x14ac:dyDescent="0.25">
      <c r="E34" s="18"/>
      <c r="G34" s="13"/>
    </row>
    <row r="35" spans="5:7" x14ac:dyDescent="0.25">
      <c r="E35" s="18"/>
      <c r="G35" s="13"/>
    </row>
    <row r="36" spans="5:7" x14ac:dyDescent="0.25">
      <c r="E36" s="18"/>
    </row>
    <row r="37" spans="5:7" x14ac:dyDescent="0.25">
      <c r="E37" s="18"/>
    </row>
    <row r="38" spans="5:7" x14ac:dyDescent="0.25">
      <c r="E38" s="18"/>
    </row>
    <row r="39" spans="5:7" x14ac:dyDescent="0.25">
      <c r="E39" s="18"/>
    </row>
    <row r="40" spans="5:7" x14ac:dyDescent="0.25">
      <c r="E40" s="18"/>
    </row>
    <row r="41" spans="5:7" x14ac:dyDescent="0.25">
      <c r="E41" s="18"/>
    </row>
  </sheetData>
  <pageMargins left="0.7" right="0.7" top="0.75" bottom="0.75" header="0.3" footer="0.3"/>
  <pageSetup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2"/>
  <sheetViews>
    <sheetView workbookViewId="0">
      <selection activeCell="T13" sqref="T13"/>
    </sheetView>
  </sheetViews>
  <sheetFormatPr defaultRowHeight="12" x14ac:dyDescent="0.2"/>
  <cols>
    <col min="1" max="1" width="15.85546875" style="43" customWidth="1"/>
    <col min="2" max="2" width="10.42578125" style="43" customWidth="1"/>
    <col min="3" max="3" width="10.42578125" style="43" hidden="1" customWidth="1"/>
    <col min="4" max="4" width="10.42578125" style="43" customWidth="1"/>
    <col min="5" max="5" width="6.140625" style="43" customWidth="1"/>
    <col min="6" max="6" width="6.28515625" style="73" customWidth="1"/>
    <col min="7" max="9" width="10.85546875" style="74" customWidth="1"/>
    <col min="10" max="13" width="9.85546875" style="74" customWidth="1"/>
    <col min="14" max="14" width="4.28515625" style="73" customWidth="1"/>
    <col min="15" max="15" width="8.7109375" style="73" customWidth="1"/>
    <col min="16" max="16" width="8.28515625" style="73" customWidth="1"/>
    <col min="17" max="17" width="12.140625" style="73" customWidth="1"/>
    <col min="18" max="18" width="9.140625" style="73"/>
    <col min="19" max="16384" width="9.140625" style="43"/>
  </cols>
  <sheetData>
    <row r="1" spans="1:18" x14ac:dyDescent="0.2">
      <c r="A1" s="43" t="s">
        <v>99</v>
      </c>
      <c r="F1" s="79" t="s">
        <v>63</v>
      </c>
      <c r="G1" s="80" t="s">
        <v>64</v>
      </c>
      <c r="H1" s="80" t="s">
        <v>90</v>
      </c>
      <c r="I1" s="80" t="s">
        <v>91</v>
      </c>
      <c r="J1" s="80" t="s">
        <v>87</v>
      </c>
      <c r="K1" s="80" t="s">
        <v>89</v>
      </c>
      <c r="L1" s="80" t="s">
        <v>92</v>
      </c>
      <c r="M1" s="80" t="s">
        <v>88</v>
      </c>
      <c r="N1" s="79"/>
      <c r="O1" s="79" t="s">
        <v>94</v>
      </c>
      <c r="P1" s="79" t="s">
        <v>95</v>
      </c>
      <c r="Q1" s="79" t="s">
        <v>100</v>
      </c>
      <c r="R1" s="79" t="s">
        <v>101</v>
      </c>
    </row>
    <row r="2" spans="1:18" x14ac:dyDescent="0.2">
      <c r="A2" s="43" t="s">
        <v>97</v>
      </c>
      <c r="B2" s="43">
        <v>3</v>
      </c>
      <c r="F2" s="73">
        <v>250</v>
      </c>
      <c r="G2" s="74">
        <f>($B$3*F2^$B$2)-($B$5*F2^$B$4)+$B$6*F2+$B$7</f>
        <v>3584819</v>
      </c>
      <c r="H2" s="74">
        <f>$B$7</f>
        <v>1491069</v>
      </c>
      <c r="I2" s="74">
        <f>G2-H2</f>
        <v>2093750</v>
      </c>
      <c r="J2" s="74">
        <f>$B$2*$B$3*F2^($B$2-1)-$B$5*$B$4*F2^($B$4-1)+$B$6</f>
        <v>4250</v>
      </c>
      <c r="K2" s="74">
        <f>I2/F2</f>
        <v>8375</v>
      </c>
      <c r="L2" s="74">
        <f>H2/F2</f>
        <v>5964.2759999999998</v>
      </c>
      <c r="M2" s="74">
        <f>G2/F2</f>
        <v>14339.276</v>
      </c>
      <c r="O2" s="74">
        <f t="shared" ref="O2:O33" si="0">$B$25+$B$26*F2</f>
        <v>16790.909090909096</v>
      </c>
      <c r="P2" s="74">
        <f t="shared" ref="P2:P33" si="1">$B$25+2*$B$26*F2</f>
        <v>5427.2727272727279</v>
      </c>
      <c r="Q2" s="74">
        <f>F2*O2</f>
        <v>4197727.2727272743</v>
      </c>
      <c r="R2" s="74">
        <f>Q2-G2</f>
        <v>612908.27272727434</v>
      </c>
    </row>
    <row r="3" spans="1:18" x14ac:dyDescent="0.2">
      <c r="A3" s="43" t="s">
        <v>84</v>
      </c>
      <c r="B3" s="44">
        <v>0.12</v>
      </c>
      <c r="C3" s="44"/>
      <c r="D3" s="44"/>
      <c r="F3" s="73">
        <v>251</v>
      </c>
      <c r="G3" s="74">
        <f t="shared" ref="G3:G66" si="2">($B$3*F3^$B$2)-($B$5*F3^$B$4)+$B$6*F3+$B$7</f>
        <v>3589082.62</v>
      </c>
      <c r="H3" s="74">
        <f t="shared" ref="H3:H66" si="3">$B$7</f>
        <v>1491069</v>
      </c>
      <c r="I3" s="74">
        <f t="shared" ref="I3:I66" si="4">G3-H3</f>
        <v>2098013.62</v>
      </c>
      <c r="J3" s="74">
        <f t="shared" ref="J3:J66" si="5">$B$2*$B$3*F3^($B$2-1)-$B$5*$B$4*F3^($B$4-1)+$B$6</f>
        <v>4277.3600000000006</v>
      </c>
      <c r="K3" s="74">
        <f t="shared" ref="K3:K66" si="6">I3/F3</f>
        <v>8358.6200000000008</v>
      </c>
      <c r="L3" s="74">
        <f t="shared" ref="L3:L66" si="7">H3/F3</f>
        <v>5940.5139442231075</v>
      </c>
      <c r="M3" s="74">
        <f>G3/F3</f>
        <v>14299.133944223107</v>
      </c>
      <c r="O3" s="74">
        <f t="shared" si="0"/>
        <v>16745.454545454551</v>
      </c>
      <c r="P3" s="74">
        <f t="shared" si="1"/>
        <v>5336.3636363636397</v>
      </c>
      <c r="Q3" s="74">
        <f t="shared" ref="Q3:Q66" si="8">F3*O3</f>
        <v>4203109.0909090927</v>
      </c>
      <c r="R3" s="74">
        <f t="shared" ref="R3:R66" si="9">Q3-G3</f>
        <v>614026.47090909258</v>
      </c>
    </row>
    <row r="4" spans="1:18" x14ac:dyDescent="0.2">
      <c r="A4" s="43" t="s">
        <v>98</v>
      </c>
      <c r="B4" s="43">
        <v>2</v>
      </c>
      <c r="F4" s="73">
        <v>252</v>
      </c>
      <c r="G4" s="74">
        <f t="shared" si="2"/>
        <v>3593373.96</v>
      </c>
      <c r="H4" s="74">
        <f t="shared" si="3"/>
        <v>1491069</v>
      </c>
      <c r="I4" s="74">
        <f t="shared" si="4"/>
        <v>2102304.96</v>
      </c>
      <c r="J4" s="74">
        <f t="shared" si="5"/>
        <v>4305.4399999999987</v>
      </c>
      <c r="K4" s="74">
        <f t="shared" si="6"/>
        <v>8342.48</v>
      </c>
      <c r="L4" s="74">
        <f t="shared" si="7"/>
        <v>5916.9404761904761</v>
      </c>
      <c r="M4" s="74">
        <f t="shared" ref="M4:M67" si="10">G4/F4</f>
        <v>14259.420476190477</v>
      </c>
      <c r="O4" s="74">
        <f t="shared" si="0"/>
        <v>16700.000000000004</v>
      </c>
      <c r="P4" s="74">
        <f t="shared" si="1"/>
        <v>5245.4545454545478</v>
      </c>
      <c r="Q4" s="74">
        <f t="shared" si="8"/>
        <v>4208400.0000000009</v>
      </c>
      <c r="R4" s="74">
        <f t="shared" si="9"/>
        <v>615026.04000000097</v>
      </c>
    </row>
    <row r="5" spans="1:18" x14ac:dyDescent="0.2">
      <c r="A5" s="43" t="s">
        <v>85</v>
      </c>
      <c r="B5" s="44">
        <v>76.5</v>
      </c>
      <c r="C5" s="44"/>
      <c r="D5" s="44"/>
      <c r="F5" s="73">
        <v>253</v>
      </c>
      <c r="G5" s="74">
        <f t="shared" si="2"/>
        <v>3597693.74</v>
      </c>
      <c r="H5" s="74">
        <f t="shared" si="3"/>
        <v>1491069</v>
      </c>
      <c r="I5" s="74">
        <f t="shared" si="4"/>
        <v>2106624.7400000002</v>
      </c>
      <c r="J5" s="74">
        <f t="shared" si="5"/>
        <v>4334.239999999998</v>
      </c>
      <c r="K5" s="74">
        <f t="shared" si="6"/>
        <v>8326.5800000000017</v>
      </c>
      <c r="L5" s="74">
        <f t="shared" si="7"/>
        <v>5893.553359683794</v>
      </c>
      <c r="M5" s="74">
        <f t="shared" si="10"/>
        <v>14220.133359683796</v>
      </c>
      <c r="O5" s="74">
        <f t="shared" si="0"/>
        <v>16654.545454545456</v>
      </c>
      <c r="P5" s="74">
        <f t="shared" si="1"/>
        <v>5154.5454545454559</v>
      </c>
      <c r="Q5" s="74">
        <f t="shared" si="8"/>
        <v>4213600</v>
      </c>
      <c r="R5" s="74">
        <f t="shared" si="9"/>
        <v>615906.25999999978</v>
      </c>
    </row>
    <row r="6" spans="1:18" x14ac:dyDescent="0.2">
      <c r="A6" s="43" t="s">
        <v>86</v>
      </c>
      <c r="B6" s="44">
        <v>20000</v>
      </c>
      <c r="C6" s="44"/>
      <c r="D6" s="44"/>
      <c r="F6" s="73">
        <v>254</v>
      </c>
      <c r="G6" s="74">
        <f t="shared" si="2"/>
        <v>3602042.6799999997</v>
      </c>
      <c r="H6" s="74">
        <f t="shared" si="3"/>
        <v>1491069</v>
      </c>
      <c r="I6" s="74">
        <f t="shared" si="4"/>
        <v>2110973.6799999997</v>
      </c>
      <c r="J6" s="74">
        <f t="shared" si="5"/>
        <v>4363.7599999999984</v>
      </c>
      <c r="K6" s="74">
        <f t="shared" si="6"/>
        <v>8310.9199999999983</v>
      </c>
      <c r="L6" s="74">
        <f t="shared" si="7"/>
        <v>5870.3503937007872</v>
      </c>
      <c r="M6" s="74">
        <f t="shared" si="10"/>
        <v>14181.270393700786</v>
      </c>
      <c r="O6" s="74">
        <f t="shared" si="0"/>
        <v>16609.090909090912</v>
      </c>
      <c r="P6" s="74">
        <f t="shared" si="1"/>
        <v>5063.636363636364</v>
      </c>
      <c r="Q6" s="74">
        <f t="shared" si="8"/>
        <v>4218709.0909090918</v>
      </c>
      <c r="R6" s="74">
        <f t="shared" si="9"/>
        <v>616666.41090909205</v>
      </c>
    </row>
    <row r="7" spans="1:18" x14ac:dyDescent="0.2">
      <c r="A7" s="43" t="s">
        <v>102</v>
      </c>
      <c r="B7" s="46">
        <v>1491069</v>
      </c>
      <c r="C7" s="46"/>
      <c r="D7" s="46"/>
      <c r="F7" s="73">
        <v>255</v>
      </c>
      <c r="G7" s="74">
        <f t="shared" si="2"/>
        <v>3606421.5</v>
      </c>
      <c r="H7" s="74">
        <f t="shared" si="3"/>
        <v>1491069</v>
      </c>
      <c r="I7" s="74">
        <f t="shared" si="4"/>
        <v>2115352.5</v>
      </c>
      <c r="J7" s="74">
        <f t="shared" si="5"/>
        <v>4394</v>
      </c>
      <c r="K7" s="74">
        <f t="shared" si="6"/>
        <v>8295.5</v>
      </c>
      <c r="L7" s="74">
        <f t="shared" si="7"/>
        <v>5847.3294117647056</v>
      </c>
      <c r="M7" s="74">
        <f t="shared" si="10"/>
        <v>14142.829411764706</v>
      </c>
      <c r="O7" s="74">
        <f t="shared" si="0"/>
        <v>16563.636363636368</v>
      </c>
      <c r="P7" s="74">
        <f t="shared" si="1"/>
        <v>4972.7272727272757</v>
      </c>
      <c r="Q7" s="74">
        <f t="shared" si="8"/>
        <v>4223727.2727272734</v>
      </c>
      <c r="R7" s="74">
        <f t="shared" si="9"/>
        <v>617305.7727272734</v>
      </c>
    </row>
    <row r="8" spans="1:18" x14ac:dyDescent="0.2">
      <c r="F8" s="73">
        <v>256</v>
      </c>
      <c r="G8" s="74">
        <f t="shared" si="2"/>
        <v>3610830.92</v>
      </c>
      <c r="H8" s="74">
        <f t="shared" si="3"/>
        <v>1491069</v>
      </c>
      <c r="I8" s="74">
        <f t="shared" si="4"/>
        <v>2119761.9199999999</v>
      </c>
      <c r="J8" s="74">
        <f t="shared" si="5"/>
        <v>4424.9599999999991</v>
      </c>
      <c r="K8" s="74">
        <f t="shared" si="6"/>
        <v>8280.32</v>
      </c>
      <c r="L8" s="74">
        <f t="shared" si="7"/>
        <v>5824.48828125</v>
      </c>
      <c r="M8" s="74">
        <f t="shared" si="10"/>
        <v>14104.80828125</v>
      </c>
      <c r="O8" s="74">
        <f t="shared" si="0"/>
        <v>16518.181818181823</v>
      </c>
      <c r="P8" s="74">
        <f t="shared" si="1"/>
        <v>4881.8181818181838</v>
      </c>
      <c r="Q8" s="74">
        <f t="shared" si="8"/>
        <v>4228654.5454545468</v>
      </c>
      <c r="R8" s="74">
        <f t="shared" si="9"/>
        <v>617823.62545454688</v>
      </c>
    </row>
    <row r="9" spans="1:18" x14ac:dyDescent="0.2">
      <c r="B9" s="44"/>
      <c r="C9" s="44"/>
      <c r="D9" s="44"/>
      <c r="F9" s="73">
        <v>257</v>
      </c>
      <c r="G9" s="74">
        <f t="shared" si="2"/>
        <v>3615271.66</v>
      </c>
      <c r="H9" s="74">
        <f t="shared" si="3"/>
        <v>1491069</v>
      </c>
      <c r="I9" s="74">
        <f t="shared" si="4"/>
        <v>2124202.66</v>
      </c>
      <c r="J9" s="74">
        <f t="shared" si="5"/>
        <v>4456.6399999999994</v>
      </c>
      <c r="K9" s="74">
        <f t="shared" si="6"/>
        <v>8265.380000000001</v>
      </c>
      <c r="L9" s="74">
        <f t="shared" si="7"/>
        <v>5801.8249027237352</v>
      </c>
      <c r="M9" s="74">
        <f t="shared" si="10"/>
        <v>14067.204902723735</v>
      </c>
      <c r="O9" s="74">
        <f t="shared" si="0"/>
        <v>16472.727272727276</v>
      </c>
      <c r="P9" s="74">
        <f t="shared" si="1"/>
        <v>4790.9090909090919</v>
      </c>
      <c r="Q9" s="74">
        <f t="shared" si="8"/>
        <v>4233490.9090909101</v>
      </c>
      <c r="R9" s="74">
        <f t="shared" si="9"/>
        <v>618219.24909090996</v>
      </c>
    </row>
    <row r="10" spans="1:18" x14ac:dyDescent="0.2">
      <c r="A10" s="43" t="s">
        <v>79</v>
      </c>
      <c r="F10" s="73">
        <v>258</v>
      </c>
      <c r="G10" s="74">
        <f t="shared" si="2"/>
        <v>3619744.44</v>
      </c>
      <c r="H10" s="74">
        <f t="shared" si="3"/>
        <v>1491069</v>
      </c>
      <c r="I10" s="74">
        <f t="shared" si="4"/>
        <v>2128675.44</v>
      </c>
      <c r="J10" s="74">
        <f t="shared" si="5"/>
        <v>4489.0400000000009</v>
      </c>
      <c r="K10" s="74">
        <f t="shared" si="6"/>
        <v>8250.68</v>
      </c>
      <c r="L10" s="74">
        <f t="shared" si="7"/>
        <v>5779.3372093023254</v>
      </c>
      <c r="M10" s="74">
        <f t="shared" si="10"/>
        <v>14030.017209302325</v>
      </c>
      <c r="O10" s="74">
        <f t="shared" si="0"/>
        <v>16427.272727272732</v>
      </c>
      <c r="P10" s="74">
        <f t="shared" si="1"/>
        <v>4700.0000000000036</v>
      </c>
      <c r="Q10" s="74">
        <f t="shared" si="8"/>
        <v>4238236.3636363652</v>
      </c>
      <c r="R10" s="74">
        <f t="shared" si="9"/>
        <v>618491.92363636522</v>
      </c>
    </row>
    <row r="11" spans="1:18" x14ac:dyDescent="0.2">
      <c r="A11" s="43" t="s">
        <v>93</v>
      </c>
      <c r="B11" s="43" t="s">
        <v>67</v>
      </c>
      <c r="D11" s="43" t="s">
        <v>68</v>
      </c>
      <c r="F11" s="73">
        <v>259</v>
      </c>
      <c r="G11" s="74">
        <f t="shared" si="2"/>
        <v>3624249.98</v>
      </c>
      <c r="H11" s="74">
        <f t="shared" si="3"/>
        <v>1491069</v>
      </c>
      <c r="I11" s="74">
        <f t="shared" si="4"/>
        <v>2133180.98</v>
      </c>
      <c r="J11" s="74">
        <f t="shared" si="5"/>
        <v>4522.16</v>
      </c>
      <c r="K11" s="74">
        <f t="shared" si="6"/>
        <v>8236.2199999999993</v>
      </c>
      <c r="L11" s="74">
        <f t="shared" si="7"/>
        <v>5757.0231660231657</v>
      </c>
      <c r="M11" s="74">
        <f t="shared" si="10"/>
        <v>13993.243166023167</v>
      </c>
      <c r="O11" s="74">
        <f t="shared" si="0"/>
        <v>16381.818181818186</v>
      </c>
      <c r="P11" s="74">
        <f t="shared" si="1"/>
        <v>4609.0909090909117</v>
      </c>
      <c r="Q11" s="74">
        <f t="shared" si="8"/>
        <v>4242890.9090909101</v>
      </c>
      <c r="R11" s="74">
        <f t="shared" si="9"/>
        <v>618640.92909091013</v>
      </c>
    </row>
    <row r="12" spans="1:18" x14ac:dyDescent="0.2">
      <c r="A12" s="43" t="s">
        <v>52</v>
      </c>
      <c r="B12" s="43">
        <v>-933.88400000000001</v>
      </c>
      <c r="C12" s="43">
        <v>1</v>
      </c>
      <c r="F12" s="75">
        <v>260</v>
      </c>
      <c r="G12" s="76">
        <f t="shared" si="2"/>
        <v>3628789</v>
      </c>
      <c r="H12" s="76">
        <f t="shared" si="3"/>
        <v>1491069</v>
      </c>
      <c r="I12" s="76">
        <f t="shared" si="4"/>
        <v>2137720</v>
      </c>
      <c r="J12" s="76">
        <f t="shared" si="5"/>
        <v>4556</v>
      </c>
      <c r="K12" s="76">
        <f t="shared" si="6"/>
        <v>8222</v>
      </c>
      <c r="L12" s="76">
        <f t="shared" si="7"/>
        <v>5734.8807692307691</v>
      </c>
      <c r="M12" s="76">
        <f t="shared" si="10"/>
        <v>13956.880769230769</v>
      </c>
      <c r="N12" s="75"/>
      <c r="O12" s="76">
        <f t="shared" si="0"/>
        <v>16336.36363636364</v>
      </c>
      <c r="P12" s="76">
        <f t="shared" si="1"/>
        <v>4518.1818181818198</v>
      </c>
      <c r="Q12" s="76">
        <f t="shared" si="8"/>
        <v>4247454.5454545459</v>
      </c>
      <c r="R12" s="76">
        <f t="shared" si="9"/>
        <v>618665.54545454588</v>
      </c>
    </row>
    <row r="13" spans="1:18" x14ac:dyDescent="0.2">
      <c r="A13" s="43" t="s">
        <v>69</v>
      </c>
      <c r="B13" s="43">
        <v>-2.1999999999999999E-2</v>
      </c>
      <c r="C13" s="43">
        <v>16000</v>
      </c>
      <c r="D13" s="51">
        <f>C13</f>
        <v>16000</v>
      </c>
      <c r="F13" s="75">
        <v>261</v>
      </c>
      <c r="G13" s="76">
        <f t="shared" si="2"/>
        <v>3633362.2199999997</v>
      </c>
      <c r="H13" s="76">
        <f t="shared" si="3"/>
        <v>1491069</v>
      </c>
      <c r="I13" s="76">
        <f t="shared" si="4"/>
        <v>2142293.2199999997</v>
      </c>
      <c r="J13" s="76">
        <f t="shared" si="5"/>
        <v>4590.5599999999977</v>
      </c>
      <c r="K13" s="76">
        <f t="shared" si="6"/>
        <v>8208.0199999999986</v>
      </c>
      <c r="L13" s="76">
        <f t="shared" si="7"/>
        <v>5712.9080459770112</v>
      </c>
      <c r="M13" s="76">
        <f t="shared" si="10"/>
        <v>13920.928045977011</v>
      </c>
      <c r="N13" s="75"/>
      <c r="O13" s="76">
        <f t="shared" si="0"/>
        <v>16290.909090909094</v>
      </c>
      <c r="P13" s="76">
        <f t="shared" si="1"/>
        <v>4427.2727272727279</v>
      </c>
      <c r="Q13" s="76">
        <f t="shared" si="8"/>
        <v>4251927.2727272734</v>
      </c>
      <c r="R13" s="76">
        <f t="shared" si="9"/>
        <v>618565.05272727367</v>
      </c>
    </row>
    <row r="14" spans="1:18" x14ac:dyDescent="0.2">
      <c r="A14" s="43" t="s">
        <v>70</v>
      </c>
      <c r="B14" s="55">
        <v>3.8E-3</v>
      </c>
      <c r="C14" s="45">
        <v>13000</v>
      </c>
      <c r="D14" s="51">
        <f>C14</f>
        <v>13000</v>
      </c>
      <c r="F14" s="75">
        <v>262</v>
      </c>
      <c r="G14" s="76">
        <f t="shared" si="2"/>
        <v>3637970.36</v>
      </c>
      <c r="H14" s="76">
        <f t="shared" si="3"/>
        <v>1491069</v>
      </c>
      <c r="I14" s="76">
        <f t="shared" si="4"/>
        <v>2146901.36</v>
      </c>
      <c r="J14" s="76">
        <f t="shared" si="5"/>
        <v>4625.84</v>
      </c>
      <c r="K14" s="76">
        <f t="shared" si="6"/>
        <v>8194.2799999999988</v>
      </c>
      <c r="L14" s="76">
        <f t="shared" si="7"/>
        <v>5691.1030534351148</v>
      </c>
      <c r="M14" s="76">
        <f t="shared" si="10"/>
        <v>13885.383053435115</v>
      </c>
      <c r="N14" s="75"/>
      <c r="O14" s="76">
        <f t="shared" si="0"/>
        <v>16245.45454545455</v>
      </c>
      <c r="P14" s="76">
        <f t="shared" si="1"/>
        <v>4336.3636363636397</v>
      </c>
      <c r="Q14" s="76">
        <f t="shared" si="8"/>
        <v>4256309.0909090918</v>
      </c>
      <c r="R14" s="76">
        <f t="shared" si="9"/>
        <v>618338.73090909189</v>
      </c>
    </row>
    <row r="15" spans="1:18" x14ac:dyDescent="0.2">
      <c r="A15" s="43" t="s">
        <v>71</v>
      </c>
      <c r="B15" s="47">
        <v>143.19999999999999</v>
      </c>
      <c r="C15" s="45">
        <f>(D15/C13)</f>
        <v>0.625</v>
      </c>
      <c r="D15" s="51">
        <v>10000</v>
      </c>
      <c r="E15" s="43" t="s">
        <v>107</v>
      </c>
      <c r="F15" s="75">
        <v>263</v>
      </c>
      <c r="G15" s="76">
        <f t="shared" si="2"/>
        <v>3642614.14</v>
      </c>
      <c r="H15" s="76">
        <f t="shared" si="3"/>
        <v>1491069</v>
      </c>
      <c r="I15" s="76">
        <f t="shared" si="4"/>
        <v>2151545.14</v>
      </c>
      <c r="J15" s="76">
        <f t="shared" si="5"/>
        <v>4661.84</v>
      </c>
      <c r="K15" s="76">
        <f t="shared" si="6"/>
        <v>8180.7800000000007</v>
      </c>
      <c r="L15" s="76">
        <f t="shared" si="7"/>
        <v>5669.4638783269966</v>
      </c>
      <c r="M15" s="76">
        <f t="shared" si="10"/>
        <v>13850.243878326997</v>
      </c>
      <c r="N15" s="75"/>
      <c r="O15" s="76">
        <f t="shared" si="0"/>
        <v>16200.000000000004</v>
      </c>
      <c r="P15" s="76">
        <f t="shared" si="1"/>
        <v>4245.4545454545478</v>
      </c>
      <c r="Q15" s="76">
        <f t="shared" si="8"/>
        <v>4260600.0000000009</v>
      </c>
      <c r="R15" s="76">
        <f t="shared" si="9"/>
        <v>617985.8600000008</v>
      </c>
    </row>
    <row r="16" spans="1:18" x14ac:dyDescent="0.2">
      <c r="A16" s="43" t="s">
        <v>72</v>
      </c>
      <c r="B16" s="44">
        <v>0.16</v>
      </c>
      <c r="C16" s="45">
        <v>300</v>
      </c>
      <c r="D16" s="51">
        <f>C16</f>
        <v>300</v>
      </c>
      <c r="F16" s="75">
        <v>264</v>
      </c>
      <c r="G16" s="76">
        <f t="shared" si="2"/>
        <v>3647294.28</v>
      </c>
      <c r="H16" s="76">
        <f t="shared" si="3"/>
        <v>1491069</v>
      </c>
      <c r="I16" s="76">
        <f t="shared" si="4"/>
        <v>2156225.2799999998</v>
      </c>
      <c r="J16" s="76">
        <f t="shared" si="5"/>
        <v>4698.5599999999977</v>
      </c>
      <c r="K16" s="76">
        <f t="shared" si="6"/>
        <v>8167.5199999999995</v>
      </c>
      <c r="L16" s="76">
        <f t="shared" si="7"/>
        <v>5647.988636363636</v>
      </c>
      <c r="M16" s="76">
        <f t="shared" si="10"/>
        <v>13815.508636363636</v>
      </c>
      <c r="N16" s="75"/>
      <c r="O16" s="76">
        <f t="shared" si="0"/>
        <v>16154.545454545458</v>
      </c>
      <c r="P16" s="76">
        <f t="shared" si="1"/>
        <v>4154.5454545454559</v>
      </c>
      <c r="Q16" s="76">
        <f t="shared" si="8"/>
        <v>4264800.0000000009</v>
      </c>
      <c r="R16" s="76">
        <f t="shared" si="9"/>
        <v>617505.72000000114</v>
      </c>
    </row>
    <row r="17" spans="1:18" x14ac:dyDescent="0.2">
      <c r="A17" s="43" t="s">
        <v>76</v>
      </c>
      <c r="B17" s="43">
        <v>2.9000000000000001E-2</v>
      </c>
      <c r="C17" s="43">
        <v>45000</v>
      </c>
      <c r="D17" s="51">
        <f>C17</f>
        <v>45000</v>
      </c>
      <c r="F17" s="75">
        <v>265</v>
      </c>
      <c r="G17" s="76">
        <f t="shared" si="2"/>
        <v>3652011.5</v>
      </c>
      <c r="H17" s="76">
        <f t="shared" si="3"/>
        <v>1491069</v>
      </c>
      <c r="I17" s="76">
        <f t="shared" si="4"/>
        <v>2160942.5</v>
      </c>
      <c r="J17" s="76">
        <f t="shared" si="5"/>
        <v>4736</v>
      </c>
      <c r="K17" s="76">
        <f t="shared" si="6"/>
        <v>8154.5</v>
      </c>
      <c r="L17" s="76">
        <f t="shared" si="7"/>
        <v>5626.6754716981131</v>
      </c>
      <c r="M17" s="76">
        <f t="shared" si="10"/>
        <v>13781.175471698114</v>
      </c>
      <c r="N17" s="75"/>
      <c r="O17" s="76">
        <f t="shared" si="0"/>
        <v>16109.090909090912</v>
      </c>
      <c r="P17" s="76">
        <f t="shared" si="1"/>
        <v>4063.636363636364</v>
      </c>
      <c r="Q17" s="76">
        <f t="shared" si="8"/>
        <v>4268909.0909090918</v>
      </c>
      <c r="R17" s="76">
        <f t="shared" si="9"/>
        <v>616897.59090909176</v>
      </c>
    </row>
    <row r="18" spans="1:18" x14ac:dyDescent="0.2">
      <c r="A18" s="43" t="s">
        <v>73</v>
      </c>
      <c r="B18" s="43">
        <v>35.6</v>
      </c>
      <c r="C18" s="43">
        <v>2.64</v>
      </c>
      <c r="D18" s="53">
        <f t="shared" ref="D18:D20" si="11">C18</f>
        <v>2.64</v>
      </c>
      <c r="F18" s="75">
        <v>266</v>
      </c>
      <c r="G18" s="76">
        <f t="shared" si="2"/>
        <v>3656766.52</v>
      </c>
      <c r="H18" s="76">
        <f t="shared" si="3"/>
        <v>1491069</v>
      </c>
      <c r="I18" s="76">
        <f t="shared" si="4"/>
        <v>2165697.52</v>
      </c>
      <c r="J18" s="76">
        <f t="shared" si="5"/>
        <v>4774.16</v>
      </c>
      <c r="K18" s="76">
        <f t="shared" si="6"/>
        <v>8141.72</v>
      </c>
      <c r="L18" s="76">
        <f t="shared" si="7"/>
        <v>5605.5225563909771</v>
      </c>
      <c r="M18" s="76">
        <f t="shared" si="10"/>
        <v>13747.242556390978</v>
      </c>
      <c r="N18" s="75"/>
      <c r="O18" s="76">
        <f t="shared" si="0"/>
        <v>16063.636363636368</v>
      </c>
      <c r="P18" s="76">
        <f t="shared" si="1"/>
        <v>3972.7272727272757</v>
      </c>
      <c r="Q18" s="76">
        <f t="shared" si="8"/>
        <v>4272927.2727272734</v>
      </c>
      <c r="R18" s="76">
        <f t="shared" si="9"/>
        <v>616160.75272727339</v>
      </c>
    </row>
    <row r="19" spans="1:18" x14ac:dyDescent="0.2">
      <c r="A19" s="43" t="s">
        <v>74</v>
      </c>
      <c r="B19" s="43">
        <v>-0.46</v>
      </c>
      <c r="C19" s="43">
        <v>500</v>
      </c>
      <c r="D19" s="51">
        <f t="shared" si="11"/>
        <v>500</v>
      </c>
      <c r="F19" s="77">
        <v>267.39999999999998</v>
      </c>
      <c r="G19" s="78">
        <f t="shared" si="2"/>
        <v>3663488.42288</v>
      </c>
      <c r="H19" s="78">
        <f t="shared" si="3"/>
        <v>1491069</v>
      </c>
      <c r="I19" s="78">
        <f t="shared" si="4"/>
        <v>2172419.42288</v>
      </c>
      <c r="J19" s="78">
        <f t="shared" si="5"/>
        <v>4828.7936000000009</v>
      </c>
      <c r="K19" s="78">
        <f t="shared" si="6"/>
        <v>8124.2312000000002</v>
      </c>
      <c r="L19" s="78">
        <f t="shared" si="7"/>
        <v>5576.1742707554231</v>
      </c>
      <c r="M19" s="78">
        <f t="shared" si="10"/>
        <v>13700.405470755424</v>
      </c>
      <c r="N19" s="77"/>
      <c r="O19" s="78">
        <f t="shared" si="0"/>
        <v>16000.000000000004</v>
      </c>
      <c r="P19" s="78">
        <f t="shared" si="1"/>
        <v>3845.4545454545478</v>
      </c>
      <c r="Q19" s="78">
        <f t="shared" si="8"/>
        <v>4278400.0000000009</v>
      </c>
      <c r="R19" s="78">
        <f t="shared" si="9"/>
        <v>614911.57712000096</v>
      </c>
    </row>
    <row r="20" spans="1:18" x14ac:dyDescent="0.2">
      <c r="A20" s="43" t="s">
        <v>75</v>
      </c>
      <c r="B20" s="47">
        <v>4.7</v>
      </c>
      <c r="C20" s="45">
        <v>42</v>
      </c>
      <c r="D20" s="52">
        <f t="shared" si="11"/>
        <v>42</v>
      </c>
      <c r="E20" s="43" t="s">
        <v>108</v>
      </c>
      <c r="F20" s="73">
        <v>268</v>
      </c>
      <c r="G20" s="74">
        <f t="shared" si="2"/>
        <v>3666392.84</v>
      </c>
      <c r="H20" s="74">
        <f t="shared" si="3"/>
        <v>1491069</v>
      </c>
      <c r="I20" s="74">
        <f t="shared" si="4"/>
        <v>2175323.84</v>
      </c>
      <c r="J20" s="74">
        <f t="shared" si="5"/>
        <v>4852.6399999999994</v>
      </c>
      <c r="K20" s="74">
        <f t="shared" si="6"/>
        <v>8116.8799999999992</v>
      </c>
      <c r="L20" s="74">
        <f t="shared" si="7"/>
        <v>5563.690298507463</v>
      </c>
      <c r="M20" s="74">
        <f t="shared" si="10"/>
        <v>13680.570298507462</v>
      </c>
      <c r="O20" s="74">
        <f t="shared" si="0"/>
        <v>15972.727272727276</v>
      </c>
      <c r="P20" s="74">
        <f t="shared" si="1"/>
        <v>3790.9090909090919</v>
      </c>
      <c r="Q20" s="74">
        <f t="shared" si="8"/>
        <v>4280690.9090909101</v>
      </c>
      <c r="R20" s="74">
        <f t="shared" si="9"/>
        <v>614298.06909091026</v>
      </c>
    </row>
    <row r="21" spans="1:18" x14ac:dyDescent="0.2">
      <c r="F21" s="73">
        <v>269</v>
      </c>
      <c r="G21" s="74">
        <f t="shared" si="2"/>
        <v>3671265.58</v>
      </c>
      <c r="H21" s="74">
        <f t="shared" si="3"/>
        <v>1491069</v>
      </c>
      <c r="I21" s="74">
        <f t="shared" si="4"/>
        <v>2180196.58</v>
      </c>
      <c r="J21" s="74">
        <f t="shared" si="5"/>
        <v>4892.9599999999991</v>
      </c>
      <c r="K21" s="74">
        <f t="shared" si="6"/>
        <v>8104.8200000000006</v>
      </c>
      <c r="L21" s="74">
        <f t="shared" si="7"/>
        <v>5543.0074349442375</v>
      </c>
      <c r="M21" s="74">
        <f t="shared" si="10"/>
        <v>13647.827434944238</v>
      </c>
      <c r="O21" s="74">
        <f t="shared" si="0"/>
        <v>15927.272727272732</v>
      </c>
      <c r="P21" s="74">
        <f t="shared" si="1"/>
        <v>3700.0000000000036</v>
      </c>
      <c r="Q21" s="74">
        <f t="shared" si="8"/>
        <v>4284436.3636363652</v>
      </c>
      <c r="R21" s="74">
        <f t="shared" si="9"/>
        <v>613170.78363636509</v>
      </c>
    </row>
    <row r="22" spans="1:18" x14ac:dyDescent="0.2">
      <c r="A22" s="43" t="s">
        <v>103</v>
      </c>
      <c r="B22" s="44">
        <f>B12+SUMPRODUCT(B14:B20,C14:C20)</f>
        <v>619.40000000000009</v>
      </c>
      <c r="C22" s="44"/>
      <c r="F22" s="73">
        <v>270</v>
      </c>
      <c r="G22" s="74">
        <f t="shared" si="2"/>
        <v>3676179</v>
      </c>
      <c r="H22" s="74">
        <f t="shared" si="3"/>
        <v>1491069</v>
      </c>
      <c r="I22" s="74">
        <f t="shared" si="4"/>
        <v>2185110</v>
      </c>
      <c r="J22" s="74">
        <f t="shared" si="5"/>
        <v>4934</v>
      </c>
      <c r="K22" s="74">
        <f t="shared" si="6"/>
        <v>8093</v>
      </c>
      <c r="L22" s="74">
        <f t="shared" si="7"/>
        <v>5522.4777777777781</v>
      </c>
      <c r="M22" s="74">
        <f t="shared" si="10"/>
        <v>13615.477777777778</v>
      </c>
      <c r="O22" s="74">
        <f t="shared" si="0"/>
        <v>15881.818181818186</v>
      </c>
      <c r="P22" s="74">
        <f t="shared" si="1"/>
        <v>3609.0909090909117</v>
      </c>
      <c r="Q22" s="74">
        <f t="shared" si="8"/>
        <v>4288090.9090909101</v>
      </c>
      <c r="R22" s="74">
        <f t="shared" si="9"/>
        <v>611911.90909091011</v>
      </c>
    </row>
    <row r="23" spans="1:18" x14ac:dyDescent="0.2">
      <c r="A23" s="43" t="s">
        <v>104</v>
      </c>
      <c r="B23" s="43">
        <f>B13</f>
        <v>-2.1999999999999999E-2</v>
      </c>
      <c r="F23" s="73">
        <v>271</v>
      </c>
      <c r="G23" s="74">
        <f t="shared" si="2"/>
        <v>3681133.82</v>
      </c>
      <c r="H23" s="74">
        <f t="shared" si="3"/>
        <v>1491069</v>
      </c>
      <c r="I23" s="74">
        <f t="shared" si="4"/>
        <v>2190064.8199999998</v>
      </c>
      <c r="J23" s="74">
        <f t="shared" si="5"/>
        <v>4975.7599999999984</v>
      </c>
      <c r="K23" s="74">
        <f t="shared" si="6"/>
        <v>8081.4199999999992</v>
      </c>
      <c r="L23" s="74">
        <f t="shared" si="7"/>
        <v>5502.0996309963102</v>
      </c>
      <c r="M23" s="74">
        <f t="shared" si="10"/>
        <v>13583.519630996308</v>
      </c>
      <c r="O23" s="74">
        <f t="shared" si="0"/>
        <v>15836.36363636364</v>
      </c>
      <c r="P23" s="74">
        <f t="shared" si="1"/>
        <v>3518.1818181818198</v>
      </c>
      <c r="Q23" s="74">
        <f t="shared" si="8"/>
        <v>4291654.5454545468</v>
      </c>
      <c r="R23" s="74">
        <f t="shared" si="9"/>
        <v>610520.72545454698</v>
      </c>
    </row>
    <row r="24" spans="1:18" x14ac:dyDescent="0.2">
      <c r="F24" s="73">
        <v>272</v>
      </c>
      <c r="G24" s="74">
        <f t="shared" si="2"/>
        <v>3686130.76</v>
      </c>
      <c r="H24" s="74">
        <f t="shared" si="3"/>
        <v>1491069</v>
      </c>
      <c r="I24" s="74">
        <f t="shared" si="4"/>
        <v>2195061.7599999998</v>
      </c>
      <c r="J24" s="74">
        <f t="shared" si="5"/>
        <v>5018.239999999998</v>
      </c>
      <c r="K24" s="74">
        <f t="shared" si="6"/>
        <v>8070.079999999999</v>
      </c>
      <c r="L24" s="74">
        <f t="shared" si="7"/>
        <v>5481.8713235294117</v>
      </c>
      <c r="M24" s="74">
        <f t="shared" si="10"/>
        <v>13551.951323529411</v>
      </c>
      <c r="O24" s="74">
        <f t="shared" si="0"/>
        <v>15790.909090909094</v>
      </c>
      <c r="P24" s="74">
        <f t="shared" si="1"/>
        <v>3427.2727272727279</v>
      </c>
      <c r="Q24" s="74">
        <f t="shared" si="8"/>
        <v>4295127.2727272734</v>
      </c>
      <c r="R24" s="74">
        <f t="shared" si="9"/>
        <v>608996.51272727363</v>
      </c>
    </row>
    <row r="25" spans="1:18" x14ac:dyDescent="0.2">
      <c r="A25" s="43" t="s">
        <v>105</v>
      </c>
      <c r="B25" s="43">
        <f>-B22/B23</f>
        <v>28154.54545454546</v>
      </c>
      <c r="F25" s="73">
        <v>273</v>
      </c>
      <c r="G25" s="74">
        <f t="shared" si="2"/>
        <v>3691170.54</v>
      </c>
      <c r="H25" s="74">
        <f t="shared" si="3"/>
        <v>1491069</v>
      </c>
      <c r="I25" s="74">
        <f t="shared" si="4"/>
        <v>2200101.54</v>
      </c>
      <c r="J25" s="74">
        <f t="shared" si="5"/>
        <v>5061.4399999999987</v>
      </c>
      <c r="K25" s="74">
        <f t="shared" si="6"/>
        <v>8058.9800000000005</v>
      </c>
      <c r="L25" s="74">
        <f t="shared" si="7"/>
        <v>5461.7912087912091</v>
      </c>
      <c r="M25" s="74">
        <f t="shared" si="10"/>
        <v>13520.77120879121</v>
      </c>
      <c r="O25" s="74">
        <f t="shared" si="0"/>
        <v>15745.45454545455</v>
      </c>
      <c r="P25" s="74">
        <f t="shared" si="1"/>
        <v>3336.3636363636397</v>
      </c>
      <c r="Q25" s="74">
        <f t="shared" si="8"/>
        <v>4298509.0909090918</v>
      </c>
      <c r="R25" s="74">
        <f t="shared" si="9"/>
        <v>607338.55090909172</v>
      </c>
    </row>
    <row r="26" spans="1:18" x14ac:dyDescent="0.2">
      <c r="A26" s="43" t="s">
        <v>106</v>
      </c>
      <c r="B26" s="43">
        <f>1/B23</f>
        <v>-45.45454545454546</v>
      </c>
      <c r="F26" s="73">
        <v>274</v>
      </c>
      <c r="G26" s="74">
        <f t="shared" si="2"/>
        <v>3696253.88</v>
      </c>
      <c r="H26" s="74">
        <f t="shared" si="3"/>
        <v>1491069</v>
      </c>
      <c r="I26" s="74">
        <f t="shared" si="4"/>
        <v>2205184.88</v>
      </c>
      <c r="J26" s="74">
        <f t="shared" si="5"/>
        <v>5105.3600000000006</v>
      </c>
      <c r="K26" s="74">
        <f t="shared" si="6"/>
        <v>8048.12</v>
      </c>
      <c r="L26" s="74">
        <f t="shared" si="7"/>
        <v>5441.8576642335765</v>
      </c>
      <c r="M26" s="74">
        <f t="shared" si="10"/>
        <v>13489.977664233576</v>
      </c>
      <c r="O26" s="74">
        <f t="shared" si="0"/>
        <v>15700.000000000004</v>
      </c>
      <c r="P26" s="74">
        <f t="shared" si="1"/>
        <v>3245.4545454545478</v>
      </c>
      <c r="Q26" s="74">
        <f t="shared" si="8"/>
        <v>4301800.0000000009</v>
      </c>
      <c r="R26" s="74">
        <f t="shared" si="9"/>
        <v>605546.12000000104</v>
      </c>
    </row>
    <row r="27" spans="1:18" x14ac:dyDescent="0.2">
      <c r="F27" s="73">
        <v>275</v>
      </c>
      <c r="G27" s="74">
        <f t="shared" si="2"/>
        <v>3701381.5</v>
      </c>
      <c r="H27" s="74">
        <f t="shared" si="3"/>
        <v>1491069</v>
      </c>
      <c r="I27" s="74">
        <f t="shared" si="4"/>
        <v>2210312.5</v>
      </c>
      <c r="J27" s="74">
        <f t="shared" si="5"/>
        <v>5150</v>
      </c>
      <c r="K27" s="74">
        <f t="shared" si="6"/>
        <v>8037.5</v>
      </c>
      <c r="L27" s="74">
        <f t="shared" si="7"/>
        <v>5422.0690909090908</v>
      </c>
      <c r="M27" s="74">
        <f t="shared" si="10"/>
        <v>13459.569090909092</v>
      </c>
      <c r="O27" s="74">
        <f t="shared" si="0"/>
        <v>15654.545454545458</v>
      </c>
      <c r="P27" s="74">
        <f t="shared" si="1"/>
        <v>3154.5454545454559</v>
      </c>
      <c r="Q27" s="74">
        <f t="shared" si="8"/>
        <v>4305000.0000000009</v>
      </c>
      <c r="R27" s="74">
        <f t="shared" si="9"/>
        <v>603618.50000000093</v>
      </c>
    </row>
    <row r="28" spans="1:18" x14ac:dyDescent="0.2">
      <c r="F28" s="73">
        <v>276</v>
      </c>
      <c r="G28" s="74">
        <f t="shared" si="2"/>
        <v>3706554.12</v>
      </c>
      <c r="H28" s="74">
        <f t="shared" si="3"/>
        <v>1491069</v>
      </c>
      <c r="I28" s="74">
        <f t="shared" si="4"/>
        <v>2215485.12</v>
      </c>
      <c r="J28" s="74">
        <f t="shared" si="5"/>
        <v>5195.3600000000006</v>
      </c>
      <c r="K28" s="74">
        <f t="shared" si="6"/>
        <v>8027.1200000000008</v>
      </c>
      <c r="L28" s="74">
        <f t="shared" si="7"/>
        <v>5402.423913043478</v>
      </c>
      <c r="M28" s="74">
        <f t="shared" si="10"/>
        <v>13429.543913043479</v>
      </c>
      <c r="O28" s="74">
        <f t="shared" si="0"/>
        <v>15609.090909090912</v>
      </c>
      <c r="P28" s="74">
        <f t="shared" si="1"/>
        <v>3063.636363636364</v>
      </c>
      <c r="Q28" s="74">
        <f t="shared" si="8"/>
        <v>4308109.0909090918</v>
      </c>
      <c r="R28" s="74">
        <f t="shared" si="9"/>
        <v>601554.97090909164</v>
      </c>
    </row>
    <row r="29" spans="1:18" x14ac:dyDescent="0.2">
      <c r="F29" s="73">
        <v>277</v>
      </c>
      <c r="G29" s="74">
        <f t="shared" si="2"/>
        <v>3711772.46</v>
      </c>
      <c r="H29" s="74">
        <f t="shared" si="3"/>
        <v>1491069</v>
      </c>
      <c r="I29" s="74">
        <f t="shared" si="4"/>
        <v>2220703.46</v>
      </c>
      <c r="J29" s="74">
        <f t="shared" si="5"/>
        <v>5241.4399999999987</v>
      </c>
      <c r="K29" s="74">
        <f t="shared" si="6"/>
        <v>8016.98</v>
      </c>
      <c r="L29" s="74">
        <f t="shared" si="7"/>
        <v>5382.9205776173285</v>
      </c>
      <c r="M29" s="74">
        <f t="shared" si="10"/>
        <v>13399.900577617329</v>
      </c>
      <c r="O29" s="74">
        <f t="shared" si="0"/>
        <v>15563.636363636368</v>
      </c>
      <c r="P29" s="74">
        <f t="shared" si="1"/>
        <v>2972.7272727272757</v>
      </c>
      <c r="Q29" s="74">
        <f t="shared" si="8"/>
        <v>4311127.2727272734</v>
      </c>
      <c r="R29" s="74">
        <f t="shared" si="9"/>
        <v>599354.81272727344</v>
      </c>
    </row>
    <row r="30" spans="1:18" x14ac:dyDescent="0.2">
      <c r="F30" s="73">
        <v>278</v>
      </c>
      <c r="G30" s="74">
        <f t="shared" si="2"/>
        <v>3717037.2399999998</v>
      </c>
      <c r="H30" s="74">
        <f t="shared" si="3"/>
        <v>1491069</v>
      </c>
      <c r="I30" s="74">
        <f t="shared" si="4"/>
        <v>2225968.2399999998</v>
      </c>
      <c r="J30" s="74">
        <f t="shared" si="5"/>
        <v>5288.239999999998</v>
      </c>
      <c r="K30" s="74">
        <f t="shared" si="6"/>
        <v>8007.079999999999</v>
      </c>
      <c r="L30" s="74">
        <f t="shared" si="7"/>
        <v>5363.5575539568345</v>
      </c>
      <c r="M30" s="74">
        <f t="shared" si="10"/>
        <v>13370.637553956834</v>
      </c>
      <c r="O30" s="74">
        <f t="shared" si="0"/>
        <v>15518.181818181822</v>
      </c>
      <c r="P30" s="74">
        <f t="shared" si="1"/>
        <v>2881.8181818181838</v>
      </c>
      <c r="Q30" s="74">
        <f t="shared" si="8"/>
        <v>4314054.5454545468</v>
      </c>
      <c r="R30" s="74">
        <f t="shared" si="9"/>
        <v>597017.30545454705</v>
      </c>
    </row>
    <row r="31" spans="1:18" x14ac:dyDescent="0.2">
      <c r="F31" s="73">
        <v>279</v>
      </c>
      <c r="G31" s="74">
        <f t="shared" si="2"/>
        <v>3722349.1799999997</v>
      </c>
      <c r="H31" s="74">
        <f t="shared" si="3"/>
        <v>1491069</v>
      </c>
      <c r="I31" s="74">
        <f t="shared" si="4"/>
        <v>2231280.1799999997</v>
      </c>
      <c r="J31" s="74">
        <f t="shared" si="5"/>
        <v>5335.7599999999984</v>
      </c>
      <c r="K31" s="74">
        <f t="shared" si="6"/>
        <v>7997.4199999999992</v>
      </c>
      <c r="L31" s="74">
        <f t="shared" si="7"/>
        <v>5344.333333333333</v>
      </c>
      <c r="M31" s="74">
        <f t="shared" si="10"/>
        <v>13341.753333333332</v>
      </c>
      <c r="O31" s="74">
        <f t="shared" si="0"/>
        <v>15472.727272727276</v>
      </c>
      <c r="P31" s="74">
        <f t="shared" si="1"/>
        <v>2790.9090909090919</v>
      </c>
      <c r="Q31" s="74">
        <f t="shared" si="8"/>
        <v>4316890.9090909101</v>
      </c>
      <c r="R31" s="74">
        <f t="shared" si="9"/>
        <v>594541.7290909104</v>
      </c>
    </row>
    <row r="32" spans="1:18" x14ac:dyDescent="0.2">
      <c r="F32" s="73">
        <v>280</v>
      </c>
      <c r="G32" s="74">
        <f t="shared" si="2"/>
        <v>3727709</v>
      </c>
      <c r="H32" s="74">
        <f t="shared" si="3"/>
        <v>1491069</v>
      </c>
      <c r="I32" s="74">
        <f t="shared" si="4"/>
        <v>2236640</v>
      </c>
      <c r="J32" s="74">
        <f t="shared" si="5"/>
        <v>5384</v>
      </c>
      <c r="K32" s="74">
        <f t="shared" si="6"/>
        <v>7988</v>
      </c>
      <c r="L32" s="74">
        <f t="shared" si="7"/>
        <v>5325.2464285714286</v>
      </c>
      <c r="M32" s="74">
        <f t="shared" si="10"/>
        <v>13313.246428571429</v>
      </c>
      <c r="O32" s="74">
        <f t="shared" si="0"/>
        <v>15427.27272727273</v>
      </c>
      <c r="P32" s="74">
        <f t="shared" si="1"/>
        <v>2700</v>
      </c>
      <c r="Q32" s="74">
        <f t="shared" si="8"/>
        <v>4319636.3636363642</v>
      </c>
      <c r="R32" s="74">
        <f t="shared" si="9"/>
        <v>591927.36363636423</v>
      </c>
    </row>
    <row r="33" spans="6:18" x14ac:dyDescent="0.2">
      <c r="F33" s="73">
        <v>281</v>
      </c>
      <c r="G33" s="74">
        <f t="shared" si="2"/>
        <v>3733117.42</v>
      </c>
      <c r="H33" s="74">
        <f t="shared" si="3"/>
        <v>1491069</v>
      </c>
      <c r="I33" s="74">
        <f t="shared" si="4"/>
        <v>2242048.42</v>
      </c>
      <c r="J33" s="74">
        <f t="shared" si="5"/>
        <v>5432.9599999999991</v>
      </c>
      <c r="K33" s="74">
        <f t="shared" si="6"/>
        <v>7978.82</v>
      </c>
      <c r="L33" s="74">
        <f t="shared" si="7"/>
        <v>5306.2953736654808</v>
      </c>
      <c r="M33" s="74">
        <f t="shared" si="10"/>
        <v>13285.11537366548</v>
      </c>
      <c r="O33" s="74">
        <f t="shared" si="0"/>
        <v>15381.818181818186</v>
      </c>
      <c r="P33" s="74">
        <f t="shared" si="1"/>
        <v>2609.0909090909117</v>
      </c>
      <c r="Q33" s="74">
        <f t="shared" si="8"/>
        <v>4322290.9090909101</v>
      </c>
      <c r="R33" s="74">
        <f t="shared" si="9"/>
        <v>589173.48909091018</v>
      </c>
    </row>
    <row r="34" spans="6:18" x14ac:dyDescent="0.2">
      <c r="F34" s="73">
        <v>282</v>
      </c>
      <c r="G34" s="74">
        <f t="shared" si="2"/>
        <v>3738575.1599999997</v>
      </c>
      <c r="H34" s="74">
        <f t="shared" si="3"/>
        <v>1491069</v>
      </c>
      <c r="I34" s="74">
        <f t="shared" si="4"/>
        <v>2247506.1599999997</v>
      </c>
      <c r="J34" s="74">
        <f t="shared" si="5"/>
        <v>5482.6399999999994</v>
      </c>
      <c r="K34" s="74">
        <f t="shared" si="6"/>
        <v>7969.8799999999992</v>
      </c>
      <c r="L34" s="74">
        <f t="shared" si="7"/>
        <v>5287.4787234042551</v>
      </c>
      <c r="M34" s="74">
        <f t="shared" si="10"/>
        <v>13257.358723404253</v>
      </c>
      <c r="O34" s="74">
        <f t="shared" ref="O34:O65" si="12">$B$25+$B$26*F34</f>
        <v>15336.36363636364</v>
      </c>
      <c r="P34" s="74">
        <f t="shared" ref="P34:P65" si="13">$B$25+2*$B$26*F34</f>
        <v>2518.1818181818198</v>
      </c>
      <c r="Q34" s="74">
        <f t="shared" si="8"/>
        <v>4324854.5454545468</v>
      </c>
      <c r="R34" s="74">
        <f t="shared" si="9"/>
        <v>586279.38545454713</v>
      </c>
    </row>
    <row r="35" spans="6:18" x14ac:dyDescent="0.2">
      <c r="F35" s="73">
        <v>283</v>
      </c>
      <c r="G35" s="74">
        <f t="shared" si="2"/>
        <v>3744082.94</v>
      </c>
      <c r="H35" s="74">
        <f t="shared" si="3"/>
        <v>1491069</v>
      </c>
      <c r="I35" s="74">
        <f t="shared" si="4"/>
        <v>2253013.94</v>
      </c>
      <c r="J35" s="74">
        <f t="shared" si="5"/>
        <v>5533.0399999999972</v>
      </c>
      <c r="K35" s="74">
        <f t="shared" si="6"/>
        <v>7961.1799999999994</v>
      </c>
      <c r="L35" s="74">
        <f t="shared" si="7"/>
        <v>5268.7950530035332</v>
      </c>
      <c r="M35" s="74">
        <f t="shared" si="10"/>
        <v>13229.975053003533</v>
      </c>
      <c r="O35" s="74">
        <f t="shared" si="12"/>
        <v>15290.909090909094</v>
      </c>
      <c r="P35" s="74">
        <f t="shared" si="13"/>
        <v>2427.2727272727279</v>
      </c>
      <c r="Q35" s="74">
        <f t="shared" si="8"/>
        <v>4327327.2727272734</v>
      </c>
      <c r="R35" s="74">
        <f t="shared" si="9"/>
        <v>583244.33272727346</v>
      </c>
    </row>
    <row r="36" spans="6:18" x14ac:dyDescent="0.2">
      <c r="F36" s="73">
        <v>284</v>
      </c>
      <c r="G36" s="74">
        <f t="shared" si="2"/>
        <v>3749641.48</v>
      </c>
      <c r="H36" s="74">
        <f t="shared" si="3"/>
        <v>1491069</v>
      </c>
      <c r="I36" s="74">
        <f t="shared" si="4"/>
        <v>2258572.48</v>
      </c>
      <c r="J36" s="74">
        <f t="shared" si="5"/>
        <v>5584.16</v>
      </c>
      <c r="K36" s="74">
        <f t="shared" si="6"/>
        <v>7952.72</v>
      </c>
      <c r="L36" s="74">
        <f t="shared" si="7"/>
        <v>5250.2429577464791</v>
      </c>
      <c r="M36" s="74">
        <f t="shared" si="10"/>
        <v>13202.962957746478</v>
      </c>
      <c r="O36" s="74">
        <f t="shared" si="12"/>
        <v>15245.45454545455</v>
      </c>
      <c r="P36" s="74">
        <f t="shared" si="13"/>
        <v>2336.3636363636397</v>
      </c>
      <c r="Q36" s="74">
        <f t="shared" si="8"/>
        <v>4329709.0909090918</v>
      </c>
      <c r="R36" s="74">
        <f t="shared" si="9"/>
        <v>580067.61090909177</v>
      </c>
    </row>
    <row r="37" spans="6:18" x14ac:dyDescent="0.2">
      <c r="F37" s="73">
        <v>285</v>
      </c>
      <c r="G37" s="74">
        <f t="shared" si="2"/>
        <v>3755251.5</v>
      </c>
      <c r="H37" s="74">
        <f t="shared" si="3"/>
        <v>1491069</v>
      </c>
      <c r="I37" s="74">
        <f t="shared" si="4"/>
        <v>2264182.5</v>
      </c>
      <c r="J37" s="74">
        <f t="shared" si="5"/>
        <v>5636</v>
      </c>
      <c r="K37" s="74">
        <f t="shared" si="6"/>
        <v>7944.5</v>
      </c>
      <c r="L37" s="74">
        <f t="shared" si="7"/>
        <v>5231.8210526315788</v>
      </c>
      <c r="M37" s="74">
        <f t="shared" si="10"/>
        <v>13176.32105263158</v>
      </c>
      <c r="O37" s="74">
        <f t="shared" si="12"/>
        <v>15200.000000000004</v>
      </c>
      <c r="P37" s="74">
        <f t="shared" si="13"/>
        <v>2245.4545454545478</v>
      </c>
      <c r="Q37" s="74">
        <f t="shared" si="8"/>
        <v>4332000.0000000009</v>
      </c>
      <c r="R37" s="74">
        <f t="shared" si="9"/>
        <v>576748.50000000093</v>
      </c>
    </row>
    <row r="38" spans="6:18" x14ac:dyDescent="0.2">
      <c r="F38" s="73">
        <v>286</v>
      </c>
      <c r="G38" s="74">
        <f t="shared" si="2"/>
        <v>3760913.7199999997</v>
      </c>
      <c r="H38" s="74">
        <f t="shared" si="3"/>
        <v>1491069</v>
      </c>
      <c r="I38" s="74">
        <f t="shared" si="4"/>
        <v>2269844.7199999997</v>
      </c>
      <c r="J38" s="74">
        <f t="shared" si="5"/>
        <v>5688.5599999999977</v>
      </c>
      <c r="K38" s="74">
        <f t="shared" si="6"/>
        <v>7936.5199999999995</v>
      </c>
      <c r="L38" s="74">
        <f t="shared" si="7"/>
        <v>5213.5279720279723</v>
      </c>
      <c r="M38" s="74">
        <f t="shared" si="10"/>
        <v>13150.047972027971</v>
      </c>
      <c r="O38" s="74">
        <f t="shared" si="12"/>
        <v>15154.545454545458</v>
      </c>
      <c r="P38" s="74">
        <f t="shared" si="13"/>
        <v>2154.5454545454559</v>
      </c>
      <c r="Q38" s="74">
        <f t="shared" si="8"/>
        <v>4334200.0000000009</v>
      </c>
      <c r="R38" s="74">
        <f t="shared" si="9"/>
        <v>573286.28000000119</v>
      </c>
    </row>
    <row r="39" spans="6:18" x14ac:dyDescent="0.2">
      <c r="F39" s="73">
        <v>287</v>
      </c>
      <c r="G39" s="74">
        <f t="shared" si="2"/>
        <v>3766628.86</v>
      </c>
      <c r="H39" s="74">
        <f t="shared" si="3"/>
        <v>1491069</v>
      </c>
      <c r="I39" s="74">
        <f t="shared" si="4"/>
        <v>2275559.86</v>
      </c>
      <c r="J39" s="74">
        <f t="shared" si="5"/>
        <v>5741.84</v>
      </c>
      <c r="K39" s="74">
        <f t="shared" si="6"/>
        <v>7928.78</v>
      </c>
      <c r="L39" s="74">
        <f t="shared" si="7"/>
        <v>5195.3623693379795</v>
      </c>
      <c r="M39" s="74">
        <f t="shared" si="10"/>
        <v>13124.142369337978</v>
      </c>
      <c r="O39" s="74">
        <f t="shared" si="12"/>
        <v>15109.090909090912</v>
      </c>
      <c r="P39" s="74">
        <f t="shared" si="13"/>
        <v>2063.636363636364</v>
      </c>
      <c r="Q39" s="74">
        <f t="shared" si="8"/>
        <v>4336309.0909090918</v>
      </c>
      <c r="R39" s="74">
        <f t="shared" si="9"/>
        <v>569680.23090909189</v>
      </c>
    </row>
    <row r="40" spans="6:18" x14ac:dyDescent="0.2">
      <c r="F40" s="73">
        <v>288</v>
      </c>
      <c r="G40" s="74">
        <f t="shared" si="2"/>
        <v>3772397.6399999997</v>
      </c>
      <c r="H40" s="74">
        <f t="shared" si="3"/>
        <v>1491069</v>
      </c>
      <c r="I40" s="74">
        <f t="shared" si="4"/>
        <v>2281328.6399999997</v>
      </c>
      <c r="J40" s="74">
        <f t="shared" si="5"/>
        <v>5795.84</v>
      </c>
      <c r="K40" s="74">
        <f t="shared" si="6"/>
        <v>7921.2799999999988</v>
      </c>
      <c r="L40" s="74">
        <f t="shared" si="7"/>
        <v>5177.322916666667</v>
      </c>
      <c r="M40" s="74">
        <f t="shared" si="10"/>
        <v>13098.602916666665</v>
      </c>
      <c r="O40" s="74">
        <f t="shared" si="12"/>
        <v>15063.636363636368</v>
      </c>
      <c r="P40" s="74">
        <f t="shared" si="13"/>
        <v>1972.7272727272757</v>
      </c>
      <c r="Q40" s="74">
        <f t="shared" si="8"/>
        <v>4338327.2727272734</v>
      </c>
      <c r="R40" s="74">
        <f t="shared" si="9"/>
        <v>565929.63272727374</v>
      </c>
    </row>
    <row r="41" spans="6:18" x14ac:dyDescent="0.2">
      <c r="F41" s="73">
        <v>289</v>
      </c>
      <c r="G41" s="74">
        <f t="shared" si="2"/>
        <v>3778220.78</v>
      </c>
      <c r="H41" s="74">
        <f t="shared" si="3"/>
        <v>1491069</v>
      </c>
      <c r="I41" s="74">
        <f t="shared" si="4"/>
        <v>2287151.7799999998</v>
      </c>
      <c r="J41" s="74">
        <f t="shared" si="5"/>
        <v>5850.5599999999977</v>
      </c>
      <c r="K41" s="74">
        <f t="shared" si="6"/>
        <v>7914.0199999999995</v>
      </c>
      <c r="L41" s="74">
        <f t="shared" si="7"/>
        <v>5159.4083044982699</v>
      </c>
      <c r="M41" s="74">
        <f t="shared" si="10"/>
        <v>13073.428304498269</v>
      </c>
      <c r="O41" s="74">
        <f t="shared" si="12"/>
        <v>15018.181818181822</v>
      </c>
      <c r="P41" s="74">
        <f t="shared" si="13"/>
        <v>1881.8181818181838</v>
      </c>
      <c r="Q41" s="74">
        <f t="shared" si="8"/>
        <v>4340254.5454545468</v>
      </c>
      <c r="R41" s="74">
        <f t="shared" si="9"/>
        <v>562033.76545454701</v>
      </c>
    </row>
    <row r="42" spans="6:18" x14ac:dyDescent="0.2">
      <c r="F42" s="73">
        <v>290</v>
      </c>
      <c r="G42" s="74">
        <f t="shared" si="2"/>
        <v>3784099</v>
      </c>
      <c r="H42" s="74">
        <f t="shared" si="3"/>
        <v>1491069</v>
      </c>
      <c r="I42" s="74">
        <f t="shared" si="4"/>
        <v>2293030</v>
      </c>
      <c r="J42" s="74">
        <f t="shared" si="5"/>
        <v>5906</v>
      </c>
      <c r="K42" s="74">
        <f t="shared" si="6"/>
        <v>7907</v>
      </c>
      <c r="L42" s="74">
        <f t="shared" si="7"/>
        <v>5141.6172413793101</v>
      </c>
      <c r="M42" s="74">
        <f t="shared" si="10"/>
        <v>13048.61724137931</v>
      </c>
      <c r="O42" s="74">
        <f t="shared" si="12"/>
        <v>14972.727272727276</v>
      </c>
      <c r="P42" s="74">
        <f t="shared" si="13"/>
        <v>1790.9090909090919</v>
      </c>
      <c r="Q42" s="74">
        <f t="shared" si="8"/>
        <v>4342090.9090909101</v>
      </c>
      <c r="R42" s="74">
        <f t="shared" si="9"/>
        <v>557991.90909091011</v>
      </c>
    </row>
    <row r="43" spans="6:18" x14ac:dyDescent="0.2">
      <c r="F43" s="73">
        <v>291</v>
      </c>
      <c r="G43" s="74">
        <f t="shared" si="2"/>
        <v>3790033.02</v>
      </c>
      <c r="H43" s="74">
        <f t="shared" si="3"/>
        <v>1491069</v>
      </c>
      <c r="I43" s="74">
        <f t="shared" si="4"/>
        <v>2298964.02</v>
      </c>
      <c r="J43" s="74">
        <f t="shared" si="5"/>
        <v>5962.16</v>
      </c>
      <c r="K43" s="74">
        <f t="shared" si="6"/>
        <v>7900.22</v>
      </c>
      <c r="L43" s="74">
        <f t="shared" si="7"/>
        <v>5123.9484536082473</v>
      </c>
      <c r="M43" s="74">
        <f t="shared" si="10"/>
        <v>13024.168453608247</v>
      </c>
      <c r="O43" s="74">
        <f t="shared" si="12"/>
        <v>14927.27272727273</v>
      </c>
      <c r="P43" s="74">
        <f t="shared" si="13"/>
        <v>1700</v>
      </c>
      <c r="Q43" s="74">
        <f t="shared" si="8"/>
        <v>4343836.3636363642</v>
      </c>
      <c r="R43" s="74">
        <f t="shared" si="9"/>
        <v>553803.34363636421</v>
      </c>
    </row>
    <row r="44" spans="6:18" x14ac:dyDescent="0.2">
      <c r="F44" s="73">
        <v>292</v>
      </c>
      <c r="G44" s="74">
        <f t="shared" si="2"/>
        <v>3796023.56</v>
      </c>
      <c r="H44" s="74">
        <f t="shared" si="3"/>
        <v>1491069</v>
      </c>
      <c r="I44" s="74">
        <f t="shared" si="4"/>
        <v>2304954.56</v>
      </c>
      <c r="J44" s="74">
        <f t="shared" si="5"/>
        <v>6019.0399999999972</v>
      </c>
      <c r="K44" s="74">
        <f t="shared" si="6"/>
        <v>7893.68</v>
      </c>
      <c r="L44" s="74">
        <f t="shared" si="7"/>
        <v>5106.4006849315065</v>
      </c>
      <c r="M44" s="74">
        <f t="shared" si="10"/>
        <v>13000.080684931507</v>
      </c>
      <c r="O44" s="74">
        <f t="shared" si="12"/>
        <v>14881.818181818186</v>
      </c>
      <c r="P44" s="74">
        <f t="shared" si="13"/>
        <v>1609.0909090909117</v>
      </c>
      <c r="Q44" s="74">
        <f t="shared" si="8"/>
        <v>4345490.9090909101</v>
      </c>
      <c r="R44" s="74">
        <f t="shared" si="9"/>
        <v>549467.34909091005</v>
      </c>
    </row>
    <row r="45" spans="6:18" x14ac:dyDescent="0.2">
      <c r="F45" s="73">
        <v>293</v>
      </c>
      <c r="G45" s="74">
        <f t="shared" si="2"/>
        <v>3802071.34</v>
      </c>
      <c r="H45" s="74">
        <f t="shared" si="3"/>
        <v>1491069</v>
      </c>
      <c r="I45" s="74">
        <f t="shared" si="4"/>
        <v>2311002.34</v>
      </c>
      <c r="J45" s="74">
        <f t="shared" si="5"/>
        <v>6076.6399999999994</v>
      </c>
      <c r="K45" s="74">
        <f t="shared" si="6"/>
        <v>7887.3799999999992</v>
      </c>
      <c r="L45" s="74">
        <f t="shared" si="7"/>
        <v>5088.9726962457335</v>
      </c>
      <c r="M45" s="74">
        <f t="shared" si="10"/>
        <v>12976.352696245733</v>
      </c>
      <c r="O45" s="74">
        <f t="shared" si="12"/>
        <v>14836.36363636364</v>
      </c>
      <c r="P45" s="74">
        <f t="shared" si="13"/>
        <v>1518.1818181818198</v>
      </c>
      <c r="Q45" s="74">
        <f t="shared" si="8"/>
        <v>4347054.5454545468</v>
      </c>
      <c r="R45" s="74">
        <f t="shared" si="9"/>
        <v>544983.20545454696</v>
      </c>
    </row>
    <row r="46" spans="6:18" x14ac:dyDescent="0.2">
      <c r="F46" s="73">
        <v>294</v>
      </c>
      <c r="G46" s="74">
        <f t="shared" si="2"/>
        <v>3808177.08</v>
      </c>
      <c r="H46" s="74">
        <f t="shared" si="3"/>
        <v>1491069</v>
      </c>
      <c r="I46" s="74">
        <f t="shared" si="4"/>
        <v>2317108.08</v>
      </c>
      <c r="J46" s="74">
        <f t="shared" si="5"/>
        <v>6134.9599999999991</v>
      </c>
      <c r="K46" s="74">
        <f t="shared" si="6"/>
        <v>7881.3200000000006</v>
      </c>
      <c r="L46" s="74">
        <f t="shared" si="7"/>
        <v>5071.6632653061224</v>
      </c>
      <c r="M46" s="74">
        <f t="shared" si="10"/>
        <v>12952.983265306122</v>
      </c>
      <c r="O46" s="74">
        <f t="shared" si="12"/>
        <v>14790.909090909094</v>
      </c>
      <c r="P46" s="74">
        <f t="shared" si="13"/>
        <v>1427.2727272727279</v>
      </c>
      <c r="Q46" s="74">
        <f t="shared" si="8"/>
        <v>4348527.2727272734</v>
      </c>
      <c r="R46" s="74">
        <f t="shared" si="9"/>
        <v>540350.19272727333</v>
      </c>
    </row>
    <row r="47" spans="6:18" x14ac:dyDescent="0.2">
      <c r="F47" s="73">
        <v>295</v>
      </c>
      <c r="G47" s="74">
        <f t="shared" si="2"/>
        <v>3814341.5</v>
      </c>
      <c r="H47" s="74">
        <f t="shared" si="3"/>
        <v>1491069</v>
      </c>
      <c r="I47" s="74">
        <f t="shared" si="4"/>
        <v>2323272.5</v>
      </c>
      <c r="J47" s="74">
        <f t="shared" si="5"/>
        <v>6194</v>
      </c>
      <c r="K47" s="74">
        <f t="shared" si="6"/>
        <v>7875.5</v>
      </c>
      <c r="L47" s="74">
        <f t="shared" si="7"/>
        <v>5054.4711864406781</v>
      </c>
      <c r="M47" s="74">
        <f t="shared" si="10"/>
        <v>12929.971186440678</v>
      </c>
      <c r="O47" s="74">
        <f t="shared" si="12"/>
        <v>14745.45454545455</v>
      </c>
      <c r="P47" s="74">
        <f t="shared" si="13"/>
        <v>1336.3636363636397</v>
      </c>
      <c r="Q47" s="74">
        <f t="shared" si="8"/>
        <v>4349909.0909090918</v>
      </c>
      <c r="R47" s="74">
        <f t="shared" si="9"/>
        <v>535567.59090909176</v>
      </c>
    </row>
    <row r="48" spans="6:18" x14ac:dyDescent="0.2">
      <c r="F48" s="73">
        <v>296</v>
      </c>
      <c r="G48" s="74">
        <f t="shared" si="2"/>
        <v>3820565.32</v>
      </c>
      <c r="H48" s="74">
        <f t="shared" si="3"/>
        <v>1491069</v>
      </c>
      <c r="I48" s="74">
        <f t="shared" si="4"/>
        <v>2329496.3199999998</v>
      </c>
      <c r="J48" s="74">
        <f t="shared" si="5"/>
        <v>6253.7599999999984</v>
      </c>
      <c r="K48" s="74">
        <f t="shared" si="6"/>
        <v>7869.9199999999992</v>
      </c>
      <c r="L48" s="74">
        <f t="shared" si="7"/>
        <v>5037.39527027027</v>
      </c>
      <c r="M48" s="74">
        <f t="shared" si="10"/>
        <v>12907.31527027027</v>
      </c>
      <c r="O48" s="74">
        <f t="shared" si="12"/>
        <v>14700.000000000004</v>
      </c>
      <c r="P48" s="74">
        <f t="shared" si="13"/>
        <v>1245.4545454545478</v>
      </c>
      <c r="Q48" s="74">
        <f t="shared" si="8"/>
        <v>4351200.0000000009</v>
      </c>
      <c r="R48" s="74">
        <f t="shared" si="9"/>
        <v>530634.6800000011</v>
      </c>
    </row>
    <row r="49" spans="6:18" x14ac:dyDescent="0.2">
      <c r="F49" s="73">
        <v>297</v>
      </c>
      <c r="G49" s="74">
        <f t="shared" si="2"/>
        <v>3826849.26</v>
      </c>
      <c r="H49" s="74">
        <f t="shared" si="3"/>
        <v>1491069</v>
      </c>
      <c r="I49" s="74">
        <f t="shared" si="4"/>
        <v>2335780.2599999998</v>
      </c>
      <c r="J49" s="74">
        <f t="shared" si="5"/>
        <v>6314.239999999998</v>
      </c>
      <c r="K49" s="74">
        <f t="shared" si="6"/>
        <v>7864.579999999999</v>
      </c>
      <c r="L49" s="74">
        <f t="shared" si="7"/>
        <v>5020.4343434343436</v>
      </c>
      <c r="M49" s="74">
        <f t="shared" si="10"/>
        <v>12885.014343434343</v>
      </c>
      <c r="O49" s="74">
        <f t="shared" si="12"/>
        <v>14654.545454545458</v>
      </c>
      <c r="P49" s="74">
        <f t="shared" si="13"/>
        <v>1154.5454545454559</v>
      </c>
      <c r="Q49" s="74">
        <f t="shared" si="8"/>
        <v>4352400.0000000009</v>
      </c>
      <c r="R49" s="74">
        <f t="shared" si="9"/>
        <v>525550.74000000115</v>
      </c>
    </row>
    <row r="50" spans="6:18" x14ac:dyDescent="0.2">
      <c r="F50" s="73">
        <v>298</v>
      </c>
      <c r="G50" s="74">
        <f t="shared" si="2"/>
        <v>3833194.04</v>
      </c>
      <c r="H50" s="74">
        <f t="shared" si="3"/>
        <v>1491069</v>
      </c>
      <c r="I50" s="74">
        <f t="shared" si="4"/>
        <v>2342125.04</v>
      </c>
      <c r="J50" s="74">
        <f t="shared" si="5"/>
        <v>6375.4399999999987</v>
      </c>
      <c r="K50" s="74">
        <f t="shared" si="6"/>
        <v>7859.4800000000005</v>
      </c>
      <c r="L50" s="74">
        <f t="shared" si="7"/>
        <v>5003.5872483221474</v>
      </c>
      <c r="M50" s="74">
        <f t="shared" si="10"/>
        <v>12863.067248322148</v>
      </c>
      <c r="O50" s="74">
        <f t="shared" si="12"/>
        <v>14609.090909090912</v>
      </c>
      <c r="P50" s="74">
        <f t="shared" si="13"/>
        <v>1063.636363636364</v>
      </c>
      <c r="Q50" s="74">
        <f t="shared" si="8"/>
        <v>4353509.0909090918</v>
      </c>
      <c r="R50" s="74">
        <f t="shared" si="9"/>
        <v>520315.05090909172</v>
      </c>
    </row>
    <row r="51" spans="6:18" x14ac:dyDescent="0.2">
      <c r="F51" s="73">
        <v>299</v>
      </c>
      <c r="G51" s="74">
        <f t="shared" si="2"/>
        <v>3839600.38</v>
      </c>
      <c r="H51" s="74">
        <f t="shared" si="3"/>
        <v>1491069</v>
      </c>
      <c r="I51" s="74">
        <f t="shared" si="4"/>
        <v>2348531.38</v>
      </c>
      <c r="J51" s="74">
        <f t="shared" si="5"/>
        <v>6437.3600000000006</v>
      </c>
      <c r="K51" s="74">
        <f t="shared" si="6"/>
        <v>7854.62</v>
      </c>
      <c r="L51" s="74">
        <f t="shared" si="7"/>
        <v>4986.8528428093641</v>
      </c>
      <c r="M51" s="74">
        <f t="shared" si="10"/>
        <v>12841.472842809364</v>
      </c>
      <c r="O51" s="74">
        <f t="shared" si="12"/>
        <v>14563.636363636368</v>
      </c>
      <c r="P51" s="74">
        <f t="shared" si="13"/>
        <v>972.7272727272757</v>
      </c>
      <c r="Q51" s="74">
        <f t="shared" si="8"/>
        <v>4354527.2727272743</v>
      </c>
      <c r="R51" s="74">
        <f t="shared" si="9"/>
        <v>514926.89272727445</v>
      </c>
    </row>
    <row r="52" spans="6:18" x14ac:dyDescent="0.2">
      <c r="F52" s="73">
        <v>300</v>
      </c>
      <c r="G52" s="74">
        <f t="shared" si="2"/>
        <v>3846069</v>
      </c>
      <c r="H52" s="74">
        <f t="shared" si="3"/>
        <v>1491069</v>
      </c>
      <c r="I52" s="74">
        <f t="shared" si="4"/>
        <v>2355000</v>
      </c>
      <c r="J52" s="74">
        <f t="shared" si="5"/>
        <v>6500</v>
      </c>
      <c r="K52" s="74">
        <f t="shared" si="6"/>
        <v>7850</v>
      </c>
      <c r="L52" s="74">
        <f t="shared" si="7"/>
        <v>4970.2299999999996</v>
      </c>
      <c r="M52" s="74">
        <f t="shared" si="10"/>
        <v>12820.23</v>
      </c>
      <c r="O52" s="74">
        <f t="shared" si="12"/>
        <v>14518.181818181822</v>
      </c>
      <c r="P52" s="74">
        <f t="shared" si="13"/>
        <v>881.8181818181838</v>
      </c>
      <c r="Q52" s="74">
        <f t="shared" si="8"/>
        <v>4355454.5454545468</v>
      </c>
      <c r="R52" s="74">
        <f t="shared" si="9"/>
        <v>509385.54545454681</v>
      </c>
    </row>
    <row r="53" spans="6:18" x14ac:dyDescent="0.2">
      <c r="F53" s="73">
        <v>301</v>
      </c>
      <c r="G53" s="74">
        <f t="shared" si="2"/>
        <v>3852600.62</v>
      </c>
      <c r="H53" s="74">
        <f t="shared" si="3"/>
        <v>1491069</v>
      </c>
      <c r="I53" s="74">
        <f t="shared" si="4"/>
        <v>2361531.62</v>
      </c>
      <c r="J53" s="74">
        <f t="shared" si="5"/>
        <v>6563.3600000000006</v>
      </c>
      <c r="K53" s="74">
        <f t="shared" si="6"/>
        <v>7845.6200000000008</v>
      </c>
      <c r="L53" s="74">
        <f t="shared" si="7"/>
        <v>4953.7176079734218</v>
      </c>
      <c r="M53" s="74">
        <f t="shared" si="10"/>
        <v>12799.337607973423</v>
      </c>
      <c r="O53" s="74">
        <f t="shared" si="12"/>
        <v>14472.727272727276</v>
      </c>
      <c r="P53" s="74">
        <f t="shared" si="13"/>
        <v>790.9090909090919</v>
      </c>
      <c r="Q53" s="74">
        <f t="shared" si="8"/>
        <v>4356290.9090909101</v>
      </c>
      <c r="R53" s="74">
        <f t="shared" si="9"/>
        <v>503690.28909091</v>
      </c>
    </row>
    <row r="54" spans="6:18" x14ac:dyDescent="0.2">
      <c r="F54" s="73">
        <v>302</v>
      </c>
      <c r="G54" s="74">
        <f t="shared" si="2"/>
        <v>3859195.96</v>
      </c>
      <c r="H54" s="74">
        <f t="shared" si="3"/>
        <v>1491069</v>
      </c>
      <c r="I54" s="74">
        <f t="shared" si="4"/>
        <v>2368126.96</v>
      </c>
      <c r="J54" s="74">
        <f t="shared" si="5"/>
        <v>6627.4400000000023</v>
      </c>
      <c r="K54" s="74">
        <f t="shared" si="6"/>
        <v>7841.48</v>
      </c>
      <c r="L54" s="74">
        <f t="shared" si="7"/>
        <v>4937.3145695364237</v>
      </c>
      <c r="M54" s="74">
        <f t="shared" si="10"/>
        <v>12778.794569536423</v>
      </c>
      <c r="O54" s="74">
        <f t="shared" si="12"/>
        <v>14427.27272727273</v>
      </c>
      <c r="P54" s="74">
        <f t="shared" si="13"/>
        <v>700</v>
      </c>
      <c r="Q54" s="74">
        <f t="shared" si="8"/>
        <v>4357036.3636363642</v>
      </c>
      <c r="R54" s="74">
        <f t="shared" si="9"/>
        <v>497840.40363636427</v>
      </c>
    </row>
    <row r="55" spans="6:18" x14ac:dyDescent="0.2">
      <c r="F55" s="73">
        <v>303</v>
      </c>
      <c r="G55" s="74">
        <f t="shared" si="2"/>
        <v>3865855.7399999998</v>
      </c>
      <c r="H55" s="74">
        <f t="shared" si="3"/>
        <v>1491069</v>
      </c>
      <c r="I55" s="74">
        <f t="shared" si="4"/>
        <v>2374786.7399999998</v>
      </c>
      <c r="J55" s="74">
        <f t="shared" si="5"/>
        <v>6692.239999999998</v>
      </c>
      <c r="K55" s="74">
        <f t="shared" si="6"/>
        <v>7837.579999999999</v>
      </c>
      <c r="L55" s="74">
        <f t="shared" si="7"/>
        <v>4921.0198019801983</v>
      </c>
      <c r="M55" s="74">
        <f t="shared" si="10"/>
        <v>12758.599801980197</v>
      </c>
      <c r="O55" s="74">
        <f t="shared" si="12"/>
        <v>14381.818181818186</v>
      </c>
      <c r="P55" s="74">
        <f t="shared" si="13"/>
        <v>609.09090909091174</v>
      </c>
      <c r="Q55" s="74">
        <f t="shared" si="8"/>
        <v>4357690.9090909101</v>
      </c>
      <c r="R55" s="74">
        <f t="shared" si="9"/>
        <v>491835.16909091035</v>
      </c>
    </row>
    <row r="56" spans="6:18" x14ac:dyDescent="0.2">
      <c r="F56" s="73">
        <v>304</v>
      </c>
      <c r="G56" s="74">
        <f t="shared" si="2"/>
        <v>3872580.6799999997</v>
      </c>
      <c r="H56" s="74">
        <f t="shared" si="3"/>
        <v>1491069</v>
      </c>
      <c r="I56" s="74">
        <f t="shared" si="4"/>
        <v>2381511.6799999997</v>
      </c>
      <c r="J56" s="74">
        <f t="shared" si="5"/>
        <v>6757.760000000002</v>
      </c>
      <c r="K56" s="74">
        <f t="shared" si="6"/>
        <v>7833.9199999999992</v>
      </c>
      <c r="L56" s="74">
        <f t="shared" si="7"/>
        <v>4904.832236842105</v>
      </c>
      <c r="M56" s="74">
        <f t="shared" si="10"/>
        <v>12738.752236842105</v>
      </c>
      <c r="O56" s="74">
        <f t="shared" si="12"/>
        <v>14336.36363636364</v>
      </c>
      <c r="P56" s="74">
        <f t="shared" si="13"/>
        <v>518.18181818181984</v>
      </c>
      <c r="Q56" s="74">
        <f t="shared" si="8"/>
        <v>4358254.5454545468</v>
      </c>
      <c r="R56" s="74">
        <f t="shared" si="9"/>
        <v>485673.86545454711</v>
      </c>
    </row>
    <row r="57" spans="6:18" x14ac:dyDescent="0.2">
      <c r="F57" s="73">
        <v>305</v>
      </c>
      <c r="G57" s="74">
        <f t="shared" si="2"/>
        <v>3879371.5</v>
      </c>
      <c r="H57" s="74">
        <f t="shared" si="3"/>
        <v>1491069</v>
      </c>
      <c r="I57" s="74">
        <f t="shared" si="4"/>
        <v>2388302.5</v>
      </c>
      <c r="J57" s="74">
        <f t="shared" si="5"/>
        <v>6824</v>
      </c>
      <c r="K57" s="74">
        <f t="shared" si="6"/>
        <v>7830.5</v>
      </c>
      <c r="L57" s="74">
        <f t="shared" si="7"/>
        <v>4888.750819672131</v>
      </c>
      <c r="M57" s="74">
        <f t="shared" si="10"/>
        <v>12719.250819672132</v>
      </c>
      <c r="O57" s="74">
        <f t="shared" si="12"/>
        <v>14290.909090909094</v>
      </c>
      <c r="P57" s="74">
        <f t="shared" si="13"/>
        <v>427.27272727272793</v>
      </c>
      <c r="Q57" s="74">
        <f t="shared" si="8"/>
        <v>4358727.2727272734</v>
      </c>
      <c r="R57" s="74">
        <f t="shared" si="9"/>
        <v>479355.7727272734</v>
      </c>
    </row>
    <row r="58" spans="6:18" x14ac:dyDescent="0.2">
      <c r="F58" s="73">
        <v>306</v>
      </c>
      <c r="G58" s="74">
        <f t="shared" si="2"/>
        <v>3886228.92</v>
      </c>
      <c r="H58" s="74">
        <f t="shared" si="3"/>
        <v>1491069</v>
      </c>
      <c r="I58" s="74">
        <f t="shared" si="4"/>
        <v>2395159.92</v>
      </c>
      <c r="J58" s="74">
        <f t="shared" si="5"/>
        <v>6890.9599999999991</v>
      </c>
      <c r="K58" s="74">
        <f t="shared" si="6"/>
        <v>7827.32</v>
      </c>
      <c r="L58" s="74">
        <f t="shared" si="7"/>
        <v>4872.7745098039213</v>
      </c>
      <c r="M58" s="74">
        <f t="shared" si="10"/>
        <v>12700.094509803921</v>
      </c>
      <c r="O58" s="74">
        <f t="shared" si="12"/>
        <v>14245.454545454548</v>
      </c>
      <c r="P58" s="74">
        <f t="shared" si="13"/>
        <v>336.36363636363603</v>
      </c>
      <c r="Q58" s="74">
        <f t="shared" si="8"/>
        <v>4359109.0909090918</v>
      </c>
      <c r="R58" s="74">
        <f t="shared" si="9"/>
        <v>472880.17090909183</v>
      </c>
    </row>
    <row r="59" spans="6:18" x14ac:dyDescent="0.2">
      <c r="F59" s="73">
        <v>307</v>
      </c>
      <c r="G59" s="74">
        <f t="shared" si="2"/>
        <v>3893153.6599999997</v>
      </c>
      <c r="H59" s="74">
        <f t="shared" si="3"/>
        <v>1491069</v>
      </c>
      <c r="I59" s="74">
        <f t="shared" si="4"/>
        <v>2402084.6599999997</v>
      </c>
      <c r="J59" s="74">
        <f t="shared" si="5"/>
        <v>6958.6399999999994</v>
      </c>
      <c r="K59" s="74">
        <f t="shared" si="6"/>
        <v>7824.3799999999992</v>
      </c>
      <c r="L59" s="74">
        <f t="shared" si="7"/>
        <v>4856.9022801302935</v>
      </c>
      <c r="M59" s="74">
        <f t="shared" si="10"/>
        <v>12681.282280130292</v>
      </c>
      <c r="O59" s="74">
        <f t="shared" si="12"/>
        <v>14200.000000000004</v>
      </c>
      <c r="P59" s="74">
        <f t="shared" si="13"/>
        <v>245.45454545454777</v>
      </c>
      <c r="Q59" s="74">
        <f t="shared" si="8"/>
        <v>4359400.0000000009</v>
      </c>
      <c r="R59" s="74">
        <f t="shared" si="9"/>
        <v>466246.34000000125</v>
      </c>
    </row>
    <row r="60" spans="6:18" x14ac:dyDescent="0.2">
      <c r="F60" s="73">
        <v>308</v>
      </c>
      <c r="G60" s="74">
        <f t="shared" si="2"/>
        <v>3900146.44</v>
      </c>
      <c r="H60" s="74">
        <f t="shared" si="3"/>
        <v>1491069</v>
      </c>
      <c r="I60" s="74">
        <f t="shared" si="4"/>
        <v>2409077.44</v>
      </c>
      <c r="J60" s="74">
        <f t="shared" si="5"/>
        <v>7027.0400000000009</v>
      </c>
      <c r="K60" s="74">
        <f t="shared" si="6"/>
        <v>7821.6799999999994</v>
      </c>
      <c r="L60" s="74">
        <f t="shared" si="7"/>
        <v>4841.1331168831166</v>
      </c>
      <c r="M60" s="74">
        <f t="shared" si="10"/>
        <v>12662.813116883117</v>
      </c>
      <c r="O60" s="74">
        <f t="shared" si="12"/>
        <v>14154.545454545458</v>
      </c>
      <c r="P60" s="74">
        <f t="shared" si="13"/>
        <v>154.54545454545587</v>
      </c>
      <c r="Q60" s="74">
        <f t="shared" si="8"/>
        <v>4359600.0000000009</v>
      </c>
      <c r="R60" s="74">
        <f t="shared" si="9"/>
        <v>459453.56000000099</v>
      </c>
    </row>
    <row r="61" spans="6:18" x14ac:dyDescent="0.2">
      <c r="F61" s="73">
        <v>309</v>
      </c>
      <c r="G61" s="74">
        <f t="shared" si="2"/>
        <v>3907207.98</v>
      </c>
      <c r="H61" s="74">
        <f t="shared" si="3"/>
        <v>1491069</v>
      </c>
      <c r="I61" s="74">
        <f t="shared" si="4"/>
        <v>2416138.98</v>
      </c>
      <c r="J61" s="74">
        <f t="shared" si="5"/>
        <v>7096.1599999999962</v>
      </c>
      <c r="K61" s="74">
        <f t="shared" si="6"/>
        <v>7819.22</v>
      </c>
      <c r="L61" s="74">
        <f t="shared" si="7"/>
        <v>4825.4660194174758</v>
      </c>
      <c r="M61" s="74">
        <f t="shared" si="10"/>
        <v>12644.686019417475</v>
      </c>
      <c r="O61" s="74">
        <f t="shared" si="12"/>
        <v>14109.090909090912</v>
      </c>
      <c r="P61" s="74">
        <f t="shared" si="13"/>
        <v>63.636363636363967</v>
      </c>
      <c r="Q61" s="74">
        <f t="shared" si="8"/>
        <v>4359709.0909090918</v>
      </c>
      <c r="R61" s="74">
        <f t="shared" si="9"/>
        <v>452501.11090909177</v>
      </c>
    </row>
    <row r="62" spans="6:18" x14ac:dyDescent="0.2">
      <c r="F62" s="73">
        <v>310</v>
      </c>
      <c r="G62" s="74">
        <f t="shared" si="2"/>
        <v>3914339</v>
      </c>
      <c r="H62" s="74">
        <f t="shared" si="3"/>
        <v>1491069</v>
      </c>
      <c r="I62" s="74">
        <f t="shared" si="4"/>
        <v>2423270</v>
      </c>
      <c r="J62" s="74">
        <f t="shared" si="5"/>
        <v>7166</v>
      </c>
      <c r="K62" s="74">
        <f t="shared" si="6"/>
        <v>7817</v>
      </c>
      <c r="L62" s="74">
        <f t="shared" si="7"/>
        <v>4809.8999999999996</v>
      </c>
      <c r="M62" s="74">
        <f t="shared" si="10"/>
        <v>12626.9</v>
      </c>
      <c r="O62" s="74">
        <f t="shared" si="12"/>
        <v>14063.636363636368</v>
      </c>
      <c r="P62" s="74">
        <f t="shared" si="13"/>
        <v>-27.272727272724296</v>
      </c>
      <c r="Q62" s="74">
        <f t="shared" si="8"/>
        <v>4359727.2727272743</v>
      </c>
      <c r="R62" s="74">
        <f t="shared" si="9"/>
        <v>445388.27272727434</v>
      </c>
    </row>
    <row r="63" spans="6:18" x14ac:dyDescent="0.2">
      <c r="F63" s="73">
        <v>311</v>
      </c>
      <c r="G63" s="74">
        <f t="shared" si="2"/>
        <v>3921540.2199999997</v>
      </c>
      <c r="H63" s="74">
        <f t="shared" si="3"/>
        <v>1491069</v>
      </c>
      <c r="I63" s="74">
        <f t="shared" si="4"/>
        <v>2430471.2199999997</v>
      </c>
      <c r="J63" s="74">
        <f t="shared" si="5"/>
        <v>7236.5599999999977</v>
      </c>
      <c r="K63" s="74">
        <f t="shared" si="6"/>
        <v>7815.0199999999995</v>
      </c>
      <c r="L63" s="74">
        <f t="shared" si="7"/>
        <v>4794.4340836012861</v>
      </c>
      <c r="M63" s="74">
        <f t="shared" si="10"/>
        <v>12609.454083601286</v>
      </c>
      <c r="O63" s="74">
        <f t="shared" si="12"/>
        <v>14018.181818181822</v>
      </c>
      <c r="P63" s="74">
        <f t="shared" si="13"/>
        <v>-118.1818181818162</v>
      </c>
      <c r="Q63" s="74">
        <f t="shared" si="8"/>
        <v>4359654.5454545468</v>
      </c>
      <c r="R63" s="74">
        <f t="shared" si="9"/>
        <v>438114.32545454707</v>
      </c>
    </row>
    <row r="64" spans="6:18" x14ac:dyDescent="0.2">
      <c r="F64" s="73">
        <v>312</v>
      </c>
      <c r="G64" s="74">
        <f t="shared" si="2"/>
        <v>3928812.36</v>
      </c>
      <c r="H64" s="74">
        <f t="shared" si="3"/>
        <v>1491069</v>
      </c>
      <c r="I64" s="74">
        <f t="shared" si="4"/>
        <v>2437743.36</v>
      </c>
      <c r="J64" s="74">
        <f t="shared" si="5"/>
        <v>7307.8399999999965</v>
      </c>
      <c r="K64" s="74">
        <f t="shared" si="6"/>
        <v>7813.28</v>
      </c>
      <c r="L64" s="74">
        <f t="shared" si="7"/>
        <v>4779.0673076923076</v>
      </c>
      <c r="M64" s="74">
        <f t="shared" si="10"/>
        <v>12592.347307692307</v>
      </c>
      <c r="O64" s="74">
        <f t="shared" si="12"/>
        <v>13972.727272727276</v>
      </c>
      <c r="P64" s="74">
        <f t="shared" si="13"/>
        <v>-209.0909090909081</v>
      </c>
      <c r="Q64" s="74">
        <f t="shared" si="8"/>
        <v>4359490.9090909101</v>
      </c>
      <c r="R64" s="74">
        <f t="shared" si="9"/>
        <v>430678.54909091024</v>
      </c>
    </row>
    <row r="65" spans="6:18" x14ac:dyDescent="0.2">
      <c r="F65" s="73">
        <v>313</v>
      </c>
      <c r="G65" s="74">
        <f t="shared" si="2"/>
        <v>3936156.1399999997</v>
      </c>
      <c r="H65" s="74">
        <f t="shared" si="3"/>
        <v>1491069</v>
      </c>
      <c r="I65" s="74">
        <f t="shared" si="4"/>
        <v>2445087.1399999997</v>
      </c>
      <c r="J65" s="74">
        <f t="shared" si="5"/>
        <v>7379.8399999999965</v>
      </c>
      <c r="K65" s="74">
        <f t="shared" si="6"/>
        <v>7811.7799999999988</v>
      </c>
      <c r="L65" s="74">
        <f t="shared" si="7"/>
        <v>4763.7987220447285</v>
      </c>
      <c r="M65" s="74">
        <f t="shared" si="10"/>
        <v>12575.578722044727</v>
      </c>
      <c r="O65" s="74">
        <f t="shared" si="12"/>
        <v>13927.27272727273</v>
      </c>
      <c r="P65" s="74">
        <f t="shared" si="13"/>
        <v>-300</v>
      </c>
      <c r="Q65" s="74">
        <f t="shared" si="8"/>
        <v>4359236.3636363642</v>
      </c>
      <c r="R65" s="74">
        <f t="shared" si="9"/>
        <v>423080.22363636456</v>
      </c>
    </row>
    <row r="66" spans="6:18" x14ac:dyDescent="0.2">
      <c r="F66" s="73">
        <v>314</v>
      </c>
      <c r="G66" s="74">
        <f t="shared" si="2"/>
        <v>3943572.28</v>
      </c>
      <c r="H66" s="74">
        <f t="shared" si="3"/>
        <v>1491069</v>
      </c>
      <c r="I66" s="74">
        <f t="shared" si="4"/>
        <v>2452503.2799999998</v>
      </c>
      <c r="J66" s="74">
        <f t="shared" si="5"/>
        <v>7452.5599999999977</v>
      </c>
      <c r="K66" s="74">
        <f t="shared" si="6"/>
        <v>7810.5199999999995</v>
      </c>
      <c r="L66" s="74">
        <f t="shared" si="7"/>
        <v>4748.627388535032</v>
      </c>
      <c r="M66" s="74">
        <f t="shared" si="10"/>
        <v>12559.147388535031</v>
      </c>
      <c r="O66" s="74">
        <f t="shared" ref="O66:O72" si="14">$B$25+$B$26*F66</f>
        <v>13881.818181818186</v>
      </c>
      <c r="P66" s="74">
        <f t="shared" ref="P66:P72" si="15">$B$25+2*$B$26*F66</f>
        <v>-390.90909090908826</v>
      </c>
      <c r="Q66" s="74">
        <f t="shared" si="8"/>
        <v>4358890.9090909101</v>
      </c>
      <c r="R66" s="74">
        <f t="shared" si="9"/>
        <v>415318.62909091031</v>
      </c>
    </row>
    <row r="67" spans="6:18" x14ac:dyDescent="0.2">
      <c r="F67" s="73">
        <v>315</v>
      </c>
      <c r="G67" s="74">
        <f t="shared" ref="G67:G72" si="16">($B$3*F67^$B$2)-($B$5*F67^$B$4)+$B$6*F67+$B$7</f>
        <v>3951061.5</v>
      </c>
      <c r="H67" s="74">
        <f t="shared" ref="H67:H72" si="17">$B$7</f>
        <v>1491069</v>
      </c>
      <c r="I67" s="74">
        <f t="shared" ref="I67:I72" si="18">G67-H67</f>
        <v>2459992.5</v>
      </c>
      <c r="J67" s="74">
        <f t="shared" ref="J67:J72" si="19">$B$2*$B$3*F67^($B$2-1)-$B$5*$B$4*F67^($B$4-1)+$B$6</f>
        <v>7526</v>
      </c>
      <c r="K67" s="74">
        <f t="shared" ref="K67:K72" si="20">I67/F67</f>
        <v>7809.5</v>
      </c>
      <c r="L67" s="74">
        <f t="shared" ref="L67:L72" si="21">H67/F67</f>
        <v>4733.5523809523811</v>
      </c>
      <c r="M67" s="74">
        <f t="shared" si="10"/>
        <v>12543.05238095238</v>
      </c>
      <c r="O67" s="74">
        <f t="shared" si="14"/>
        <v>13836.36363636364</v>
      </c>
      <c r="P67" s="74">
        <f t="shared" si="15"/>
        <v>-481.81818181818016</v>
      </c>
      <c r="Q67" s="74">
        <f t="shared" ref="Q67:Q72" si="22">F67*O67</f>
        <v>4358454.5454545468</v>
      </c>
      <c r="R67" s="74">
        <f t="shared" ref="R67:R72" si="23">Q67-G67</f>
        <v>407393.04545454681</v>
      </c>
    </row>
    <row r="68" spans="6:18" x14ac:dyDescent="0.2">
      <c r="F68" s="73">
        <v>316</v>
      </c>
      <c r="G68" s="74">
        <f t="shared" si="16"/>
        <v>3958624.52</v>
      </c>
      <c r="H68" s="74">
        <f t="shared" si="17"/>
        <v>1491069</v>
      </c>
      <c r="I68" s="74">
        <f t="shared" si="18"/>
        <v>2467555.52</v>
      </c>
      <c r="J68" s="74">
        <f t="shared" si="19"/>
        <v>7600.1599999999962</v>
      </c>
      <c r="K68" s="74">
        <f t="shared" si="20"/>
        <v>7808.72</v>
      </c>
      <c r="L68" s="74">
        <f t="shared" si="21"/>
        <v>4718.5727848101269</v>
      </c>
      <c r="M68" s="74">
        <f t="shared" ref="M68:M72" si="24">G68/F68</f>
        <v>12527.292784810126</v>
      </c>
      <c r="O68" s="74">
        <f t="shared" si="14"/>
        <v>13790.909090909094</v>
      </c>
      <c r="P68" s="74">
        <f t="shared" si="15"/>
        <v>-572.72727272727207</v>
      </c>
      <c r="Q68" s="74">
        <f t="shared" si="22"/>
        <v>4357927.2727272734</v>
      </c>
      <c r="R68" s="74">
        <f t="shared" si="23"/>
        <v>399302.75272727339</v>
      </c>
    </row>
    <row r="69" spans="6:18" x14ac:dyDescent="0.2">
      <c r="F69" s="73">
        <v>317</v>
      </c>
      <c r="G69" s="74">
        <f t="shared" si="16"/>
        <v>3966262.06</v>
      </c>
      <c r="H69" s="74">
        <f t="shared" si="17"/>
        <v>1491069</v>
      </c>
      <c r="I69" s="74">
        <f t="shared" si="18"/>
        <v>2475193.06</v>
      </c>
      <c r="J69" s="74">
        <f t="shared" si="19"/>
        <v>7675.0400000000009</v>
      </c>
      <c r="K69" s="74">
        <f t="shared" si="20"/>
        <v>7808.18</v>
      </c>
      <c r="L69" s="74">
        <f t="shared" si="21"/>
        <v>4703.6876971608835</v>
      </c>
      <c r="M69" s="74">
        <f t="shared" si="24"/>
        <v>12511.867697160884</v>
      </c>
      <c r="O69" s="74">
        <f t="shared" si="14"/>
        <v>13745.454545454548</v>
      </c>
      <c r="P69" s="74">
        <f t="shared" si="15"/>
        <v>-663.63636363636397</v>
      </c>
      <c r="Q69" s="74">
        <f t="shared" si="22"/>
        <v>4357309.0909090918</v>
      </c>
      <c r="R69" s="74">
        <f t="shared" si="23"/>
        <v>391047.0309090917</v>
      </c>
    </row>
    <row r="70" spans="6:18" x14ac:dyDescent="0.2">
      <c r="F70" s="73">
        <v>318</v>
      </c>
      <c r="G70" s="74">
        <f t="shared" si="16"/>
        <v>3973974.84</v>
      </c>
      <c r="H70" s="74">
        <f t="shared" si="17"/>
        <v>1491069</v>
      </c>
      <c r="I70" s="74">
        <f t="shared" si="18"/>
        <v>2482905.84</v>
      </c>
      <c r="J70" s="74">
        <f t="shared" si="19"/>
        <v>7750.6399999999994</v>
      </c>
      <c r="K70" s="74">
        <f t="shared" si="20"/>
        <v>7807.8799999999992</v>
      </c>
      <c r="L70" s="74">
        <f t="shared" si="21"/>
        <v>4688.8962264150941</v>
      </c>
      <c r="M70" s="74">
        <f t="shared" si="24"/>
        <v>12496.776226415093</v>
      </c>
      <c r="O70" s="74">
        <f t="shared" si="14"/>
        <v>13700.000000000004</v>
      </c>
      <c r="P70" s="74">
        <f t="shared" si="15"/>
        <v>-754.54545454545223</v>
      </c>
      <c r="Q70" s="74">
        <f t="shared" si="22"/>
        <v>4356600.0000000009</v>
      </c>
      <c r="R70" s="74">
        <f t="shared" si="23"/>
        <v>382625.16000000108</v>
      </c>
    </row>
    <row r="71" spans="6:18" x14ac:dyDescent="0.2">
      <c r="F71" s="73">
        <v>319</v>
      </c>
      <c r="G71" s="74">
        <f t="shared" si="16"/>
        <v>3981763.58</v>
      </c>
      <c r="H71" s="74">
        <f t="shared" si="17"/>
        <v>1491069</v>
      </c>
      <c r="I71" s="74">
        <f t="shared" si="18"/>
        <v>2490694.58</v>
      </c>
      <c r="J71" s="74">
        <f t="shared" si="19"/>
        <v>7826.9599999999991</v>
      </c>
      <c r="K71" s="74">
        <f t="shared" si="20"/>
        <v>7807.8200000000006</v>
      </c>
      <c r="L71" s="74">
        <f t="shared" si="21"/>
        <v>4674.197492163009</v>
      </c>
      <c r="M71" s="74">
        <f t="shared" si="24"/>
        <v>12482.01749216301</v>
      </c>
      <c r="O71" s="74">
        <f t="shared" si="14"/>
        <v>13654.545454545458</v>
      </c>
      <c r="P71" s="74">
        <f t="shared" si="15"/>
        <v>-845.45454545454413</v>
      </c>
      <c r="Q71" s="74">
        <f t="shared" si="22"/>
        <v>4355800.0000000009</v>
      </c>
      <c r="R71" s="74">
        <f t="shared" si="23"/>
        <v>374036.42000000086</v>
      </c>
    </row>
    <row r="72" spans="6:18" x14ac:dyDescent="0.2">
      <c r="F72" s="73">
        <v>320</v>
      </c>
      <c r="G72" s="74">
        <f t="shared" si="16"/>
        <v>3989629</v>
      </c>
      <c r="H72" s="74">
        <f t="shared" si="17"/>
        <v>1491069</v>
      </c>
      <c r="I72" s="74">
        <f t="shared" si="18"/>
        <v>2498560</v>
      </c>
      <c r="J72" s="74">
        <f t="shared" si="19"/>
        <v>7904</v>
      </c>
      <c r="K72" s="74">
        <f t="shared" si="20"/>
        <v>7808</v>
      </c>
      <c r="L72" s="74">
        <f t="shared" si="21"/>
        <v>4659.5906249999998</v>
      </c>
      <c r="M72" s="74">
        <f t="shared" si="24"/>
        <v>12467.590625000001</v>
      </c>
      <c r="O72" s="74">
        <f t="shared" si="14"/>
        <v>13609.090909090912</v>
      </c>
      <c r="P72" s="74">
        <f t="shared" si="15"/>
        <v>-936.36363636363603</v>
      </c>
      <c r="Q72" s="74">
        <f t="shared" si="22"/>
        <v>4354909.0909090918</v>
      </c>
      <c r="R72" s="74">
        <f t="shared" si="23"/>
        <v>365280.09090909176</v>
      </c>
    </row>
  </sheetData>
  <pageMargins left="0.7" right="0.7" top="0.75" bottom="0.75" header="0.3" footer="0.3"/>
  <pageSetup orientation="portrait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B11" sqref="B11"/>
    </sheetView>
  </sheetViews>
  <sheetFormatPr defaultRowHeight="15" x14ac:dyDescent="0.25"/>
  <cols>
    <col min="1" max="1" width="26" bestFit="1" customWidth="1"/>
    <col min="2" max="2" width="13.140625" style="40" customWidth="1"/>
    <col min="3" max="3" width="3.140625" style="40" customWidth="1"/>
    <col min="4" max="4" width="12.28515625" customWidth="1"/>
    <col min="5" max="5" width="3" style="40" customWidth="1"/>
    <col min="6" max="6" width="12" style="40" customWidth="1"/>
    <col min="7" max="7" width="2.7109375" style="40" customWidth="1"/>
    <col min="10" max="10" width="4.42578125" customWidth="1"/>
    <col min="11" max="11" width="18.85546875" customWidth="1"/>
    <col min="13" max="13" width="0" hidden="1" customWidth="1"/>
    <col min="15" max="15" width="3.85546875" customWidth="1"/>
    <col min="17" max="17" width="3.85546875" customWidth="1"/>
  </cols>
  <sheetData>
    <row r="1" spans="1:19" x14ac:dyDescent="0.25">
      <c r="A1" t="s">
        <v>39</v>
      </c>
      <c r="B1" s="40" t="s">
        <v>111</v>
      </c>
      <c r="D1">
        <v>2008</v>
      </c>
      <c r="F1" s="40" t="s">
        <v>112</v>
      </c>
      <c r="K1" s="48" t="s">
        <v>110</v>
      </c>
    </row>
    <row r="2" spans="1:19" x14ac:dyDescent="0.25">
      <c r="A2" t="s">
        <v>55</v>
      </c>
      <c r="B2" s="42">
        <f>L3+SUMPRODUCT(R4:R11,M4:M11)</f>
        <v>191.59523600000011</v>
      </c>
      <c r="C2" s="42"/>
      <c r="D2" s="42">
        <f>L13</f>
        <v>267.40000000000009</v>
      </c>
      <c r="E2" s="42"/>
      <c r="F2" s="42">
        <f>L3+SUMPRODUCT(S4:S11,M4:M11)</f>
        <v>343.20476400000007</v>
      </c>
      <c r="H2" s="59">
        <f>L13</f>
        <v>267.40000000000009</v>
      </c>
      <c r="I2" s="59" t="s">
        <v>55</v>
      </c>
      <c r="K2" t="s">
        <v>117</v>
      </c>
      <c r="L2" t="s">
        <v>67</v>
      </c>
      <c r="M2" t="s">
        <v>68</v>
      </c>
      <c r="P2" t="s">
        <v>113</v>
      </c>
      <c r="R2" t="s">
        <v>115</v>
      </c>
      <c r="S2" t="s">
        <v>116</v>
      </c>
    </row>
    <row r="3" spans="1:19" x14ac:dyDescent="0.25">
      <c r="A3" t="s">
        <v>56</v>
      </c>
      <c r="B3" s="41">
        <f>B2*N4</f>
        <v>3065523.7760000019</v>
      </c>
      <c r="D3" s="41">
        <f>(L3+SUMPRODUCT(L4:L11,M4:M11))*N4</f>
        <v>4278400.0000000019</v>
      </c>
      <c r="F3" s="41">
        <f>F2*N4</f>
        <v>5491276.2240000013</v>
      </c>
      <c r="K3" t="s">
        <v>52</v>
      </c>
      <c r="L3">
        <v>-933.88400000000001</v>
      </c>
      <c r="M3">
        <v>1</v>
      </c>
    </row>
    <row r="4" spans="1:19" x14ac:dyDescent="0.25">
      <c r="A4" t="s">
        <v>0</v>
      </c>
      <c r="B4" s="41">
        <f>D4</f>
        <v>858748</v>
      </c>
      <c r="C4" s="41"/>
      <c r="D4" s="41">
        <v>858748</v>
      </c>
      <c r="E4" s="41"/>
      <c r="F4" s="41">
        <f>B4</f>
        <v>858748</v>
      </c>
      <c r="K4" t="s">
        <v>69</v>
      </c>
      <c r="L4">
        <v>-2.1999999999999999E-2</v>
      </c>
      <c r="M4">
        <v>16000</v>
      </c>
      <c r="N4" s="56">
        <f>M4</f>
        <v>16000</v>
      </c>
      <c r="P4">
        <v>-1.2E-4</v>
      </c>
      <c r="R4">
        <f>L4+P4*$L$16</f>
        <v>-2.22352E-2</v>
      </c>
      <c r="S4">
        <f>L4-P4*$L$16</f>
        <v>-2.1764799999999997E-2</v>
      </c>
    </row>
    <row r="5" spans="1:19" x14ac:dyDescent="0.25">
      <c r="A5" t="s">
        <v>1</v>
      </c>
      <c r="B5" s="41">
        <f t="shared" ref="B5:B7" si="0">D5</f>
        <v>313835</v>
      </c>
      <c r="C5" s="41"/>
      <c r="D5" s="41">
        <v>313835</v>
      </c>
      <c r="E5" s="41"/>
      <c r="F5" s="41">
        <f t="shared" ref="F5:F7" si="1">B5</f>
        <v>313835</v>
      </c>
      <c r="K5" t="s">
        <v>70</v>
      </c>
      <c r="L5">
        <v>3.8E-3</v>
      </c>
      <c r="M5">
        <v>13000</v>
      </c>
      <c r="N5" s="56">
        <f>M5</f>
        <v>13000</v>
      </c>
      <c r="P5">
        <v>8.1000000000000004E-5</v>
      </c>
      <c r="R5" s="40">
        <f>L5-P5*$L$16</f>
        <v>3.64124E-3</v>
      </c>
      <c r="S5">
        <f>L5+$L$16*P5</f>
        <v>3.9587600000000004E-3</v>
      </c>
    </row>
    <row r="6" spans="1:19" x14ac:dyDescent="0.25">
      <c r="A6" t="s">
        <v>48</v>
      </c>
      <c r="B6" s="41">
        <f t="shared" si="0"/>
        <v>123086</v>
      </c>
      <c r="C6" s="41"/>
      <c r="D6" s="41">
        <v>123086</v>
      </c>
      <c r="E6" s="41"/>
      <c r="F6" s="41">
        <f t="shared" si="1"/>
        <v>123086</v>
      </c>
      <c r="K6" t="s">
        <v>71</v>
      </c>
      <c r="L6">
        <v>143.19999999999999</v>
      </c>
      <c r="M6">
        <f>(N6/M4)</f>
        <v>0.625</v>
      </c>
      <c r="N6" s="56">
        <v>10000</v>
      </c>
      <c r="P6">
        <v>1.54</v>
      </c>
      <c r="R6" s="40">
        <f>L6-P6*$L$16</f>
        <v>140.18159999999997</v>
      </c>
      <c r="S6" s="40">
        <f t="shared" ref="S6:S11" si="2">L6+$L$16*P6</f>
        <v>146.2184</v>
      </c>
    </row>
    <row r="7" spans="1:19" x14ac:dyDescent="0.25">
      <c r="A7" t="s">
        <v>2</v>
      </c>
      <c r="B7" s="41">
        <f t="shared" si="0"/>
        <v>20397</v>
      </c>
      <c r="C7" s="41"/>
      <c r="D7" s="41">
        <v>20397</v>
      </c>
      <c r="E7" s="41"/>
      <c r="F7" s="41">
        <f t="shared" si="1"/>
        <v>20397</v>
      </c>
      <c r="K7" t="s">
        <v>72</v>
      </c>
      <c r="L7">
        <v>0.16</v>
      </c>
      <c r="M7">
        <v>300</v>
      </c>
      <c r="N7" s="56">
        <f>M7</f>
        <v>300</v>
      </c>
      <c r="P7">
        <v>2.2000000000000001E-3</v>
      </c>
      <c r="R7" s="40">
        <f>L7-P7*$L$16</f>
        <v>0.15568799999999999</v>
      </c>
      <c r="S7" s="40">
        <f t="shared" si="2"/>
        <v>0.16431200000000001</v>
      </c>
    </row>
    <row r="8" spans="1:19" x14ac:dyDescent="0.25">
      <c r="A8" t="s">
        <v>38</v>
      </c>
      <c r="B8" s="41">
        <f>SUM(B3:B7)</f>
        <v>4381589.7760000024</v>
      </c>
      <c r="C8" s="41"/>
      <c r="D8" s="41">
        <f>SUM(D3:D7)</f>
        <v>5594466.0000000019</v>
      </c>
      <c r="E8" s="41"/>
      <c r="F8" s="41">
        <f>SUM(F3:F7)</f>
        <v>6807342.2240000013</v>
      </c>
      <c r="K8" t="s">
        <v>76</v>
      </c>
      <c r="L8">
        <v>2.9000000000000001E-2</v>
      </c>
      <c r="M8">
        <v>45000</v>
      </c>
      <c r="N8" s="56">
        <f>M8</f>
        <v>45000</v>
      </c>
      <c r="P8">
        <v>4.4999999999999999E-4</v>
      </c>
      <c r="R8" s="40">
        <f>L8-P8*$L$16</f>
        <v>2.8118000000000001E-2</v>
      </c>
      <c r="S8" s="40">
        <f t="shared" si="2"/>
        <v>2.9882000000000002E-2</v>
      </c>
    </row>
    <row r="9" spans="1:19" x14ac:dyDescent="0.25">
      <c r="A9" t="s">
        <v>40</v>
      </c>
      <c r="B9" s="41">
        <f>$L$20*B2^$L$19-$L$22*B2^$L$21+$L$23*B2+$L$24</f>
        <v>3358741.7709776023</v>
      </c>
      <c r="C9" s="41"/>
      <c r="D9" s="41">
        <f>$L$20*D2^$L$19-$L$22*D2^$L$21+$L$23*D2+$L$24</f>
        <v>3663488.4228799995</v>
      </c>
      <c r="E9" s="41"/>
      <c r="F9" s="41">
        <f>$L$20*F2^$L$19-$L$22*F2^$L$21+$L$23*F2+$L$24</f>
        <v>4195377.281606541</v>
      </c>
      <c r="K9" t="s">
        <v>73</v>
      </c>
      <c r="L9">
        <v>35.6</v>
      </c>
      <c r="M9">
        <v>2.64</v>
      </c>
      <c r="N9" s="57">
        <f t="shared" ref="N9:N11" si="3">M9</f>
        <v>2.64</v>
      </c>
      <c r="P9">
        <v>1.1100000000000001</v>
      </c>
      <c r="R9" s="40">
        <f>L9-P9*$L$16</f>
        <v>33.424399999999999</v>
      </c>
      <c r="S9" s="40">
        <f t="shared" si="2"/>
        <v>37.775600000000004</v>
      </c>
    </row>
    <row r="10" spans="1:19" x14ac:dyDescent="0.25">
      <c r="A10" t="s">
        <v>3</v>
      </c>
      <c r="B10" s="41">
        <f>B8-B9</f>
        <v>1022848.0050224001</v>
      </c>
      <c r="C10" s="41"/>
      <c r="D10" s="41">
        <f>D8-D9</f>
        <v>1930977.5771200024</v>
      </c>
      <c r="E10" s="41"/>
      <c r="F10" s="41">
        <f>F8-F9</f>
        <v>2611964.9423934603</v>
      </c>
      <c r="K10" t="s">
        <v>74</v>
      </c>
      <c r="L10">
        <v>-0.46</v>
      </c>
      <c r="M10">
        <v>500</v>
      </c>
      <c r="N10" s="56">
        <f t="shared" si="3"/>
        <v>500</v>
      </c>
      <c r="P10">
        <v>-5.0000000000000001E-3</v>
      </c>
      <c r="R10" s="40">
        <f>L10+P10*$L$16</f>
        <v>-0.4698</v>
      </c>
      <c r="S10" s="40">
        <f>L10-$L$16*P10</f>
        <v>-0.45020000000000004</v>
      </c>
    </row>
    <row r="11" spans="1:19" x14ac:dyDescent="0.25">
      <c r="A11" t="s">
        <v>58</v>
      </c>
      <c r="B11" s="41"/>
      <c r="C11" s="41"/>
      <c r="D11" s="41"/>
      <c r="E11" s="41"/>
      <c r="F11" s="41"/>
      <c r="K11" t="s">
        <v>75</v>
      </c>
      <c r="L11">
        <v>4.7</v>
      </c>
      <c r="M11">
        <v>42</v>
      </c>
      <c r="N11" s="58">
        <f t="shared" si="3"/>
        <v>42</v>
      </c>
      <c r="P11">
        <v>0.2</v>
      </c>
      <c r="R11" s="40">
        <f>L11-P11*$L$16</f>
        <v>4.3079999999999998</v>
      </c>
      <c r="S11" s="40">
        <f t="shared" si="2"/>
        <v>5.0920000000000005</v>
      </c>
    </row>
    <row r="12" spans="1:19" x14ac:dyDescent="0.25">
      <c r="A12" t="s">
        <v>59</v>
      </c>
      <c r="B12" s="41">
        <v>664429</v>
      </c>
      <c r="C12" s="41"/>
      <c r="D12" s="41">
        <v>664429</v>
      </c>
      <c r="E12" s="41"/>
      <c r="F12" s="41">
        <v>664429</v>
      </c>
    </row>
    <row r="13" spans="1:19" x14ac:dyDescent="0.25">
      <c r="A13" t="s">
        <v>60</v>
      </c>
      <c r="B13" s="41">
        <f>N7*1000</f>
        <v>300000</v>
      </c>
      <c r="C13" s="41"/>
      <c r="D13" s="41">
        <f>N7*1000</f>
        <v>300000</v>
      </c>
      <c r="E13" s="41"/>
      <c r="F13" s="41">
        <f>N7*1000</f>
        <v>300000</v>
      </c>
      <c r="K13" t="s">
        <v>77</v>
      </c>
      <c r="L13">
        <f>SUMPRODUCT(L3:L11,M3:M11)</f>
        <v>267.40000000000009</v>
      </c>
    </row>
    <row r="14" spans="1:19" x14ac:dyDescent="0.25">
      <c r="A14" t="s">
        <v>61</v>
      </c>
      <c r="B14" s="41">
        <v>82765</v>
      </c>
      <c r="C14" s="41"/>
      <c r="D14" s="41">
        <v>82765</v>
      </c>
      <c r="E14" s="41"/>
      <c r="F14" s="41">
        <v>82765</v>
      </c>
      <c r="K14" t="s">
        <v>39</v>
      </c>
      <c r="L14">
        <f>M4*L13</f>
        <v>4278400.0000000019</v>
      </c>
    </row>
    <row r="15" spans="1:19" x14ac:dyDescent="0.25">
      <c r="A15" t="s">
        <v>62</v>
      </c>
      <c r="B15" s="41">
        <v>20131</v>
      </c>
      <c r="C15" s="41"/>
      <c r="D15" s="41">
        <v>20131</v>
      </c>
      <c r="E15" s="41"/>
      <c r="F15" s="41">
        <v>20131</v>
      </c>
    </row>
    <row r="16" spans="1:19" x14ac:dyDescent="0.25">
      <c r="A16" t="s">
        <v>4</v>
      </c>
      <c r="B16" s="41">
        <f>B10-B12-B13+B14-B15</f>
        <v>121053.00502240006</v>
      </c>
      <c r="C16" s="41"/>
      <c r="D16" s="41">
        <f>D10-D12-D13+D14-D15</f>
        <v>1029182.5771200024</v>
      </c>
      <c r="E16" s="41"/>
      <c r="F16" s="41">
        <f>F10-F12-F13+F14-F15</f>
        <v>1710169.9423934603</v>
      </c>
      <c r="K16" s="58" t="s">
        <v>114</v>
      </c>
      <c r="L16" s="58">
        <v>1.96</v>
      </c>
    </row>
    <row r="17" spans="1:12" x14ac:dyDescent="0.25">
      <c r="B17" s="41"/>
      <c r="C17" s="41"/>
      <c r="D17" s="41"/>
      <c r="E17" s="41"/>
      <c r="F17" s="41"/>
    </row>
    <row r="18" spans="1:12" x14ac:dyDescent="0.25">
      <c r="A18" t="s">
        <v>5</v>
      </c>
      <c r="B18" s="41">
        <v>9495</v>
      </c>
      <c r="C18" s="41"/>
      <c r="D18" s="41">
        <v>9495</v>
      </c>
      <c r="E18" s="41"/>
      <c r="F18" s="41">
        <v>9495</v>
      </c>
      <c r="K18" s="48" t="s">
        <v>109</v>
      </c>
    </row>
    <row r="19" spans="1:12" x14ac:dyDescent="0.25">
      <c r="A19" t="s">
        <v>6</v>
      </c>
      <c r="B19" s="41">
        <v>4542</v>
      </c>
      <c r="C19" s="41"/>
      <c r="D19" s="41">
        <v>4542</v>
      </c>
      <c r="E19" s="41"/>
      <c r="F19" s="41">
        <v>4542</v>
      </c>
      <c r="K19" t="s">
        <v>97</v>
      </c>
      <c r="L19">
        <v>3</v>
      </c>
    </row>
    <row r="20" spans="1:12" x14ac:dyDescent="0.25">
      <c r="A20" t="s">
        <v>53</v>
      </c>
      <c r="B20" s="41">
        <f>B16+B18-B19</f>
        <v>126006.00502240006</v>
      </c>
      <c r="C20" s="41"/>
      <c r="D20" s="41">
        <f>D16+D18-D19</f>
        <v>1034135.5771200024</v>
      </c>
      <c r="E20" s="41"/>
      <c r="F20" s="41">
        <f>F16+F18-F19</f>
        <v>1715122.9423934603</v>
      </c>
      <c r="K20" t="s">
        <v>84</v>
      </c>
      <c r="L20">
        <v>0.12</v>
      </c>
    </row>
    <row r="21" spans="1:12" x14ac:dyDescent="0.25">
      <c r="A21" t="s">
        <v>54</v>
      </c>
      <c r="B21" s="41">
        <f>B20*$H$21</f>
        <v>46211.456714292057</v>
      </c>
      <c r="C21" s="41"/>
      <c r="D21" s="41">
        <f>D20*$H$21</f>
        <v>379259</v>
      </c>
      <c r="E21" s="41"/>
      <c r="F21" s="41">
        <f>F20*$H$21</f>
        <v>629004.38433878508</v>
      </c>
      <c r="H21" s="72">
        <v>0.36674011453721633</v>
      </c>
      <c r="I21" s="58" t="s">
        <v>78</v>
      </c>
      <c r="K21" t="s">
        <v>98</v>
      </c>
      <c r="L21">
        <v>2</v>
      </c>
    </row>
    <row r="22" spans="1:12" x14ac:dyDescent="0.25">
      <c r="A22" t="s">
        <v>9</v>
      </c>
      <c r="B22" s="41">
        <f>B20-B21</f>
        <v>79794.548308108002</v>
      </c>
      <c r="C22" s="41"/>
      <c r="D22" s="41">
        <f>D20-D21</f>
        <v>654876.57712000236</v>
      </c>
      <c r="E22" s="41"/>
      <c r="F22" s="41">
        <f>F20-F21</f>
        <v>1086118.5580546753</v>
      </c>
      <c r="K22" t="s">
        <v>85</v>
      </c>
      <c r="L22">
        <v>76.5</v>
      </c>
    </row>
    <row r="23" spans="1:12" x14ac:dyDescent="0.25">
      <c r="K23" t="s">
        <v>86</v>
      </c>
      <c r="L23">
        <v>20000</v>
      </c>
    </row>
    <row r="24" spans="1:12" x14ac:dyDescent="0.25">
      <c r="K24" t="s">
        <v>96</v>
      </c>
      <c r="L24">
        <v>1491069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B26" sqref="B26"/>
    </sheetView>
  </sheetViews>
  <sheetFormatPr defaultRowHeight="15" x14ac:dyDescent="0.25"/>
  <cols>
    <col min="1" max="1" width="30.140625" bestFit="1" customWidth="1"/>
    <col min="2" max="6" width="12.28515625" customWidth="1"/>
  </cols>
  <sheetData>
    <row r="1" spans="1:8" x14ac:dyDescent="0.25">
      <c r="A1" s="5" t="s">
        <v>39</v>
      </c>
      <c r="B1" s="6">
        <v>2008</v>
      </c>
      <c r="C1" s="6">
        <v>2007</v>
      </c>
      <c r="D1" s="6">
        <v>2006</v>
      </c>
      <c r="E1" s="6">
        <v>2005</v>
      </c>
      <c r="F1" s="6">
        <v>2004</v>
      </c>
      <c r="G1" s="1"/>
    </row>
    <row r="2" spans="1:8" x14ac:dyDescent="0.25">
      <c r="A2" s="1" t="s">
        <v>47</v>
      </c>
      <c r="B2" s="2">
        <v>4278241</v>
      </c>
      <c r="C2" s="2">
        <v>4446637</v>
      </c>
      <c r="D2" s="2">
        <v>4553561</v>
      </c>
      <c r="E2" s="2">
        <v>4183515</v>
      </c>
      <c r="F2" s="2">
        <v>3928232</v>
      </c>
      <c r="G2" s="1"/>
    </row>
    <row r="3" spans="1:8" x14ac:dyDescent="0.25">
      <c r="A3" s="1" t="s">
        <v>0</v>
      </c>
      <c r="B3" s="2">
        <v>858748</v>
      </c>
      <c r="C3" s="2">
        <v>868297</v>
      </c>
      <c r="D3" s="2">
        <v>862251</v>
      </c>
      <c r="E3" s="2">
        <v>815678</v>
      </c>
      <c r="F3" s="2">
        <v>781621</v>
      </c>
      <c r="G3" s="1"/>
    </row>
    <row r="4" spans="1:8" x14ac:dyDescent="0.25">
      <c r="A4" s="1" t="s">
        <v>1</v>
      </c>
      <c r="B4" s="2">
        <v>313835</v>
      </c>
      <c r="C4" s="2">
        <v>305435</v>
      </c>
      <c r="D4" s="2">
        <v>277490</v>
      </c>
      <c r="E4" s="2">
        <v>247861</v>
      </c>
      <c r="F4" s="2">
        <v>223712</v>
      </c>
      <c r="G4" s="1"/>
    </row>
    <row r="5" spans="1:8" x14ac:dyDescent="0.25">
      <c r="A5" s="1" t="s">
        <v>48</v>
      </c>
      <c r="B5" s="2">
        <v>123086</v>
      </c>
      <c r="C5" s="2">
        <v>100534</v>
      </c>
      <c r="D5" s="2">
        <v>102227</v>
      </c>
      <c r="E5" s="2">
        <v>93069</v>
      </c>
      <c r="F5" s="2">
        <v>79029</v>
      </c>
      <c r="G5" s="1"/>
    </row>
    <row r="6" spans="1:8" x14ac:dyDescent="0.25">
      <c r="A6" s="1" t="s">
        <v>2</v>
      </c>
      <c r="B6" s="2">
        <v>20397</v>
      </c>
      <c r="C6" s="2">
        <v>5945</v>
      </c>
      <c r="D6" s="2">
        <v>5157</v>
      </c>
      <c r="E6" s="2">
        <v>2091</v>
      </c>
      <c r="F6" s="2">
        <v>2596</v>
      </c>
      <c r="G6" s="1"/>
    </row>
    <row r="7" spans="1:8" x14ac:dyDescent="0.25">
      <c r="A7" s="8" t="s">
        <v>38</v>
      </c>
      <c r="B7" s="7">
        <v>5594307</v>
      </c>
      <c r="C7" s="7">
        <v>5726848</v>
      </c>
      <c r="D7" s="7">
        <v>5800686</v>
      </c>
      <c r="E7" s="7">
        <v>5342214</v>
      </c>
      <c r="F7" s="7">
        <v>5015190</v>
      </c>
      <c r="G7" s="1"/>
    </row>
    <row r="8" spans="1:8" x14ac:dyDescent="0.25">
      <c r="A8" s="1"/>
      <c r="B8" s="2"/>
      <c r="C8" s="2"/>
      <c r="D8" s="2"/>
      <c r="E8" s="2"/>
      <c r="F8" s="2"/>
      <c r="G8" s="1"/>
    </row>
    <row r="9" spans="1:8" x14ac:dyDescent="0.25">
      <c r="A9" s="8" t="s">
        <v>40</v>
      </c>
      <c r="B9" s="11">
        <v>3663488</v>
      </c>
      <c r="C9" s="11">
        <v>3612748</v>
      </c>
      <c r="D9" s="11">
        <v>3567839</v>
      </c>
      <c r="E9" s="11">
        <v>3301715</v>
      </c>
      <c r="F9" s="11">
        <v>3115655</v>
      </c>
      <c r="G9" s="1"/>
    </row>
    <row r="10" spans="1:8" x14ac:dyDescent="0.25">
      <c r="A10" s="1"/>
      <c r="B10" s="3"/>
      <c r="C10" s="3"/>
      <c r="D10" s="3"/>
      <c r="E10" s="3"/>
      <c r="F10" s="3"/>
      <c r="G10" s="1"/>
    </row>
    <row r="11" spans="1:8" x14ac:dyDescent="0.25">
      <c r="A11" s="8" t="s">
        <v>3</v>
      </c>
      <c r="B11" s="7">
        <f>B7-B9</f>
        <v>1930819</v>
      </c>
      <c r="C11" s="7">
        <f t="shared" ref="C11:F11" si="0">C7-C9</f>
        <v>2114100</v>
      </c>
      <c r="D11" s="7">
        <f t="shared" si="0"/>
        <v>2232847</v>
      </c>
      <c r="E11" s="7">
        <f t="shared" si="0"/>
        <v>2040499</v>
      </c>
      <c r="F11" s="7">
        <f t="shared" si="0"/>
        <v>1899535</v>
      </c>
      <c r="G11" s="1"/>
    </row>
    <row r="12" spans="1:8" x14ac:dyDescent="0.25">
      <c r="A12" s="1" t="s">
        <v>50</v>
      </c>
      <c r="B12" s="2">
        <v>964429</v>
      </c>
      <c r="C12" s="2">
        <v>883457</v>
      </c>
      <c r="D12" s="2">
        <v>823857</v>
      </c>
      <c r="E12" s="2">
        <v>740634</v>
      </c>
      <c r="F12" s="2">
        <v>710016</v>
      </c>
      <c r="G12" s="3"/>
      <c r="H12" s="4"/>
    </row>
    <row r="13" spans="1:8" x14ac:dyDescent="0.25">
      <c r="A13" s="1" t="s">
        <v>49</v>
      </c>
      <c r="B13" s="2">
        <v>82765</v>
      </c>
      <c r="C13" s="2">
        <v>212169</v>
      </c>
      <c r="D13" s="2">
        <v>210724</v>
      </c>
      <c r="E13" s="2">
        <v>191620</v>
      </c>
      <c r="F13" s="2">
        <v>188600</v>
      </c>
      <c r="G13" s="1"/>
    </row>
    <row r="14" spans="1:8" x14ac:dyDescent="0.25">
      <c r="A14" s="1" t="s">
        <v>51</v>
      </c>
      <c r="B14" s="2">
        <v>20131</v>
      </c>
      <c r="C14" s="2">
        <v>17251</v>
      </c>
      <c r="D14" s="2">
        <v>22561</v>
      </c>
      <c r="E14" s="2">
        <v>21474</v>
      </c>
      <c r="F14" s="2">
        <v>16628</v>
      </c>
      <c r="G14" s="1"/>
    </row>
    <row r="15" spans="1:8" x14ac:dyDescent="0.25">
      <c r="A15" s="8" t="s">
        <v>4</v>
      </c>
      <c r="B15" s="7">
        <f>B11-B12+B13-B14</f>
        <v>1029024</v>
      </c>
      <c r="C15" s="7">
        <f t="shared" ref="C15:F15" si="1">C11-C12+C13-C14</f>
        <v>1425561</v>
      </c>
      <c r="D15" s="7">
        <f t="shared" si="1"/>
        <v>1597153</v>
      </c>
      <c r="E15" s="7">
        <f t="shared" si="1"/>
        <v>1470011</v>
      </c>
      <c r="F15" s="7">
        <f t="shared" si="1"/>
        <v>1361491</v>
      </c>
      <c r="G15" s="1"/>
    </row>
    <row r="16" spans="1:8" x14ac:dyDescent="0.25">
      <c r="A16" s="1"/>
      <c r="B16" s="2"/>
      <c r="C16" s="2"/>
      <c r="D16" s="2"/>
      <c r="E16" s="2"/>
      <c r="F16" s="2"/>
      <c r="G16" s="1"/>
    </row>
    <row r="17" spans="1:7" x14ac:dyDescent="0.25">
      <c r="A17" s="1" t="s">
        <v>5</v>
      </c>
      <c r="B17" s="2">
        <v>9495</v>
      </c>
      <c r="C17" s="2">
        <v>22258</v>
      </c>
      <c r="D17" s="2">
        <v>27087</v>
      </c>
      <c r="E17" s="2">
        <v>17748</v>
      </c>
      <c r="F17" s="2">
        <v>17995</v>
      </c>
      <c r="G17" s="1"/>
    </row>
    <row r="18" spans="1:7" x14ac:dyDescent="0.25">
      <c r="A18" s="1" t="s">
        <v>6</v>
      </c>
      <c r="B18" s="3">
        <v>4542</v>
      </c>
      <c r="C18" s="3"/>
      <c r="D18" s="3"/>
      <c r="E18" s="3"/>
      <c r="F18" s="3"/>
      <c r="G18" s="1"/>
    </row>
    <row r="19" spans="1:7" x14ac:dyDescent="0.25">
      <c r="A19" s="1" t="s">
        <v>7</v>
      </c>
      <c r="B19" s="2">
        <f>B15+B17-B18</f>
        <v>1033977</v>
      </c>
      <c r="C19" s="2">
        <f t="shared" ref="C19:F19" si="2">C15+C17-C18</f>
        <v>1447819</v>
      </c>
      <c r="D19" s="2">
        <f t="shared" si="2"/>
        <v>1624240</v>
      </c>
      <c r="E19" s="2">
        <f t="shared" si="2"/>
        <v>1487759</v>
      </c>
      <c r="F19" s="2">
        <f t="shared" si="2"/>
        <v>1379486</v>
      </c>
      <c r="G19" s="1"/>
    </row>
    <row r="20" spans="1:7" x14ac:dyDescent="0.25">
      <c r="A20" s="1" t="s">
        <v>8</v>
      </c>
      <c r="B20" s="2">
        <v>379259</v>
      </c>
      <c r="C20" s="2">
        <v>513976</v>
      </c>
      <c r="D20" s="2">
        <v>581087</v>
      </c>
      <c r="E20" s="2">
        <v>528155</v>
      </c>
      <c r="F20" s="2">
        <v>489720</v>
      </c>
      <c r="G20" s="1"/>
    </row>
    <row r="21" spans="1:7" x14ac:dyDescent="0.25">
      <c r="A21" s="8" t="s">
        <v>9</v>
      </c>
      <c r="B21" s="7">
        <f>B19-B20</f>
        <v>654718</v>
      </c>
      <c r="C21" s="7">
        <f t="shared" ref="C21:F21" si="3">C19-C20</f>
        <v>933843</v>
      </c>
      <c r="D21" s="7">
        <f t="shared" si="3"/>
        <v>1043153</v>
      </c>
      <c r="E21" s="7">
        <f t="shared" si="3"/>
        <v>959604</v>
      </c>
      <c r="F21" s="7">
        <f t="shared" si="3"/>
        <v>889766</v>
      </c>
      <c r="G21" s="1"/>
    </row>
  </sheetData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workbookViewId="0">
      <selection activeCell="A13" sqref="A13"/>
    </sheetView>
  </sheetViews>
  <sheetFormatPr defaultRowHeight="15" x14ac:dyDescent="0.25"/>
  <cols>
    <col min="1" max="1" width="39.85546875" bestFit="1" customWidth="1"/>
    <col min="2" max="6" width="12.28515625" customWidth="1"/>
  </cols>
  <sheetData>
    <row r="1" spans="1:6" x14ac:dyDescent="0.25">
      <c r="A1" s="5" t="s">
        <v>41</v>
      </c>
      <c r="B1" s="6">
        <v>2008</v>
      </c>
      <c r="C1" s="6">
        <v>2007</v>
      </c>
      <c r="D1" s="6">
        <v>2006</v>
      </c>
      <c r="E1" s="6">
        <v>2005</v>
      </c>
      <c r="F1" s="6">
        <v>2004</v>
      </c>
    </row>
    <row r="2" spans="1:6" x14ac:dyDescent="0.25">
      <c r="A2" s="1" t="s">
        <v>10</v>
      </c>
      <c r="B2" s="1"/>
      <c r="C2" s="1"/>
      <c r="D2" s="1"/>
      <c r="E2" s="1"/>
      <c r="F2" s="1"/>
    </row>
    <row r="3" spans="1:6" x14ac:dyDescent="0.25">
      <c r="A3" s="1" t="s">
        <v>11</v>
      </c>
      <c r="B3" s="2">
        <v>593558</v>
      </c>
      <c r="C3" s="2">
        <v>402854</v>
      </c>
      <c r="D3" s="2">
        <v>238397</v>
      </c>
      <c r="E3" s="2">
        <v>140975</v>
      </c>
      <c r="F3" s="2">
        <v>275159</v>
      </c>
    </row>
    <row r="4" spans="1:6" x14ac:dyDescent="0.25">
      <c r="A4" s="1" t="s">
        <v>12</v>
      </c>
      <c r="B4" s="2">
        <v>0</v>
      </c>
      <c r="C4" s="2">
        <v>2475</v>
      </c>
      <c r="D4" s="2">
        <v>658133</v>
      </c>
      <c r="E4" s="2">
        <v>905197</v>
      </c>
      <c r="F4" s="2">
        <v>1336909</v>
      </c>
    </row>
    <row r="5" spans="1:6" x14ac:dyDescent="0.25">
      <c r="A5" s="1" t="s">
        <v>13</v>
      </c>
      <c r="B5" s="2">
        <v>296258</v>
      </c>
      <c r="C5" s="2">
        <v>181217</v>
      </c>
      <c r="D5" s="2">
        <v>143049</v>
      </c>
      <c r="E5" s="2">
        <v>122087</v>
      </c>
      <c r="F5" s="2">
        <v>121333</v>
      </c>
    </row>
    <row r="6" spans="1:6" x14ac:dyDescent="0.25">
      <c r="A6" s="1" t="s">
        <v>14</v>
      </c>
      <c r="B6" s="2">
        <v>2443965</v>
      </c>
      <c r="C6" s="2">
        <v>781280</v>
      </c>
      <c r="D6" s="2">
        <v>547106</v>
      </c>
      <c r="E6" s="2">
        <v>299373</v>
      </c>
      <c r="F6" s="2">
        <v>456516</v>
      </c>
    </row>
    <row r="7" spans="1:6" x14ac:dyDescent="0.25">
      <c r="A7" s="1" t="s">
        <v>15</v>
      </c>
      <c r="B7" s="2">
        <v>1378461</v>
      </c>
      <c r="C7" s="2">
        <v>1575283</v>
      </c>
      <c r="D7" s="2">
        <v>1554260</v>
      </c>
      <c r="E7" s="2">
        <v>1342393</v>
      </c>
      <c r="F7" s="2">
        <v>1167522</v>
      </c>
    </row>
    <row r="8" spans="1:6" x14ac:dyDescent="0.25">
      <c r="A8" s="1" t="s">
        <v>16</v>
      </c>
      <c r="B8" s="2">
        <v>400908</v>
      </c>
      <c r="C8" s="2">
        <v>349697</v>
      </c>
      <c r="D8" s="2">
        <v>287798</v>
      </c>
      <c r="E8" s="2">
        <v>221418</v>
      </c>
      <c r="F8" s="2">
        <v>226893</v>
      </c>
    </row>
    <row r="9" spans="1:6" x14ac:dyDescent="0.25">
      <c r="A9" s="1" t="s">
        <v>17</v>
      </c>
      <c r="B9" s="2">
        <v>123327</v>
      </c>
      <c r="C9" s="2">
        <v>103278</v>
      </c>
      <c r="D9" s="2">
        <v>73389</v>
      </c>
      <c r="E9" s="2">
        <v>61285</v>
      </c>
      <c r="F9" s="2">
        <v>60517</v>
      </c>
    </row>
    <row r="10" spans="1:6" x14ac:dyDescent="0.25">
      <c r="A10" s="1" t="s">
        <v>18</v>
      </c>
      <c r="B10" s="2">
        <v>141404</v>
      </c>
      <c r="C10" s="2">
        <v>71230</v>
      </c>
      <c r="D10" s="2">
        <v>48501</v>
      </c>
      <c r="E10" s="2">
        <v>52509</v>
      </c>
      <c r="F10" s="2">
        <v>38337</v>
      </c>
    </row>
    <row r="11" spans="1:6" x14ac:dyDescent="0.25">
      <c r="A11" s="8" t="s">
        <v>19</v>
      </c>
      <c r="B11" s="7">
        <f>SUM(B3:B10)</f>
        <v>5377881</v>
      </c>
      <c r="C11" s="7">
        <f t="shared" ref="C11:F11" si="0">SUM(C3:C10)</f>
        <v>3467314</v>
      </c>
      <c r="D11" s="7">
        <f t="shared" si="0"/>
        <v>3550633</v>
      </c>
      <c r="E11" s="7">
        <f t="shared" si="0"/>
        <v>3145237</v>
      </c>
      <c r="F11" s="7">
        <f t="shared" si="0"/>
        <v>3683186</v>
      </c>
    </row>
    <row r="12" spans="1:6" x14ac:dyDescent="0.25">
      <c r="A12" s="1"/>
      <c r="B12" s="3"/>
      <c r="C12" s="3"/>
      <c r="D12" s="3"/>
      <c r="E12" s="3"/>
      <c r="F12" s="3"/>
    </row>
    <row r="13" spans="1:6" x14ac:dyDescent="0.25">
      <c r="A13" s="1" t="s">
        <v>20</v>
      </c>
      <c r="B13" s="2">
        <v>817102</v>
      </c>
      <c r="C13" s="2">
        <v>845044</v>
      </c>
      <c r="D13" s="2">
        <v>725957</v>
      </c>
      <c r="E13" s="2">
        <v>600831</v>
      </c>
      <c r="F13" s="2">
        <v>488262</v>
      </c>
    </row>
    <row r="14" spans="1:6" x14ac:dyDescent="0.25">
      <c r="A14" s="1" t="s">
        <v>21</v>
      </c>
      <c r="B14" s="2">
        <v>1094487</v>
      </c>
      <c r="C14" s="2">
        <v>1060590</v>
      </c>
      <c r="D14" s="2">
        <v>1024469</v>
      </c>
      <c r="E14" s="2">
        <v>1011612</v>
      </c>
      <c r="F14" s="2">
        <v>1024665</v>
      </c>
    </row>
    <row r="15" spans="1:6" x14ac:dyDescent="0.25">
      <c r="A15" s="1" t="s">
        <v>22</v>
      </c>
      <c r="B15" s="2">
        <v>138579</v>
      </c>
      <c r="C15" s="2">
        <v>61401</v>
      </c>
      <c r="D15" s="2">
        <v>58800</v>
      </c>
      <c r="E15" s="2">
        <v>56563</v>
      </c>
      <c r="F15" s="2">
        <v>59456</v>
      </c>
    </row>
    <row r="16" spans="1:6" x14ac:dyDescent="0.25">
      <c r="A16" s="1" t="s">
        <v>42</v>
      </c>
      <c r="B16" s="2">
        <v>400576</v>
      </c>
      <c r="C16" s="2">
        <v>222257</v>
      </c>
      <c r="D16" s="2">
        <v>172291</v>
      </c>
      <c r="E16" s="2">
        <v>440966</v>
      </c>
      <c r="F16" s="2">
        <v>227724</v>
      </c>
    </row>
    <row r="17" spans="1:6" x14ac:dyDescent="0.25">
      <c r="A17" s="8" t="s">
        <v>23</v>
      </c>
      <c r="B17" s="7">
        <f>SUM(B11:B16)</f>
        <v>7828625</v>
      </c>
      <c r="C17" s="7">
        <f t="shared" ref="C17:F17" si="1">SUM(C11:C16)</f>
        <v>5656606</v>
      </c>
      <c r="D17" s="7">
        <f t="shared" si="1"/>
        <v>5532150</v>
      </c>
      <c r="E17" s="7">
        <f t="shared" si="1"/>
        <v>5255209</v>
      </c>
      <c r="F17" s="7">
        <f t="shared" si="1"/>
        <v>5483293</v>
      </c>
    </row>
    <row r="18" spans="1:6" x14ac:dyDescent="0.25">
      <c r="A18" s="1"/>
      <c r="B18" s="3"/>
      <c r="C18" s="3"/>
      <c r="D18" s="3"/>
      <c r="E18" s="3"/>
      <c r="F18" s="3"/>
    </row>
    <row r="19" spans="1:6" x14ac:dyDescent="0.25">
      <c r="A19" s="9" t="s">
        <v>43</v>
      </c>
      <c r="C19" s="3"/>
      <c r="D19" s="3"/>
      <c r="E19" s="3"/>
      <c r="F19" s="3"/>
    </row>
    <row r="20" spans="1:6" x14ac:dyDescent="0.25">
      <c r="A20" s="1" t="s">
        <v>24</v>
      </c>
      <c r="B20" s="3"/>
      <c r="C20" s="3"/>
      <c r="D20" s="3"/>
      <c r="E20" s="3"/>
      <c r="F20" s="3"/>
    </row>
    <row r="21" spans="1:6" x14ac:dyDescent="0.25">
      <c r="A21" s="1" t="s">
        <v>25</v>
      </c>
      <c r="B21" s="2">
        <v>323736</v>
      </c>
      <c r="C21" s="2">
        <v>300188</v>
      </c>
      <c r="D21" s="2">
        <v>283477</v>
      </c>
      <c r="E21" s="2">
        <v>270614</v>
      </c>
      <c r="F21" s="2">
        <v>244202</v>
      </c>
    </row>
    <row r="22" spans="1:6" x14ac:dyDescent="0.25">
      <c r="A22" s="1" t="s">
        <v>26</v>
      </c>
      <c r="B22" s="2">
        <v>541372</v>
      </c>
      <c r="C22" s="2">
        <v>484936</v>
      </c>
      <c r="D22" s="2">
        <v>479709</v>
      </c>
      <c r="E22" s="2">
        <v>397525</v>
      </c>
      <c r="F22" s="2">
        <v>433053</v>
      </c>
    </row>
    <row r="23" spans="1:6" x14ac:dyDescent="0.25">
      <c r="A23" s="1" t="s">
        <v>27</v>
      </c>
      <c r="B23" s="2">
        <v>1738649</v>
      </c>
      <c r="C23" s="2">
        <v>1119955</v>
      </c>
      <c r="D23" s="2">
        <v>832491</v>
      </c>
      <c r="E23" s="2">
        <v>204973</v>
      </c>
      <c r="F23" s="2">
        <v>495441</v>
      </c>
    </row>
    <row r="24" spans="1:6" x14ac:dyDescent="0.25">
      <c r="A24" s="8" t="s">
        <v>28</v>
      </c>
      <c r="B24" s="7">
        <f>SUM(B21:B23)</f>
        <v>2603757</v>
      </c>
      <c r="C24" s="7">
        <f t="shared" ref="C24:F24" si="2">SUM(C21:C23)</f>
        <v>1905079</v>
      </c>
      <c r="D24" s="7">
        <f t="shared" si="2"/>
        <v>1595677</v>
      </c>
      <c r="E24" s="7">
        <f t="shared" si="2"/>
        <v>873112</v>
      </c>
      <c r="F24" s="7">
        <f t="shared" si="2"/>
        <v>1172696</v>
      </c>
    </row>
    <row r="25" spans="1:6" x14ac:dyDescent="0.25">
      <c r="A25" s="1"/>
      <c r="B25" s="3"/>
      <c r="C25" s="3"/>
      <c r="D25" s="3"/>
      <c r="E25" s="3"/>
      <c r="F25" s="3"/>
    </row>
    <row r="26" spans="1:6" x14ac:dyDescent="0.25">
      <c r="A26" s="1" t="s">
        <v>29</v>
      </c>
      <c r="B26" s="2">
        <v>2176238</v>
      </c>
      <c r="C26" s="2">
        <v>980000</v>
      </c>
      <c r="D26" s="2">
        <v>870000</v>
      </c>
      <c r="E26" s="2">
        <v>1000000</v>
      </c>
      <c r="F26" s="2">
        <v>800000</v>
      </c>
    </row>
    <row r="27" spans="1:6" x14ac:dyDescent="0.25">
      <c r="A27" s="1" t="s">
        <v>30</v>
      </c>
      <c r="B27" s="3"/>
      <c r="C27" s="3"/>
      <c r="D27" s="3"/>
      <c r="E27" s="2">
        <v>155236</v>
      </c>
      <c r="F27" s="2">
        <v>51432</v>
      </c>
    </row>
    <row r="28" spans="1:6" x14ac:dyDescent="0.25">
      <c r="A28" s="1" t="s">
        <v>31</v>
      </c>
      <c r="B28" s="2">
        <v>274408</v>
      </c>
      <c r="C28" s="2">
        <v>192531</v>
      </c>
      <c r="D28" s="2">
        <v>201126</v>
      </c>
      <c r="E28" s="2">
        <v>60975</v>
      </c>
      <c r="F28" s="2">
        <v>149848</v>
      </c>
    </row>
    <row r="29" spans="1:6" x14ac:dyDescent="0.25">
      <c r="A29" s="1" t="s">
        <v>46</v>
      </c>
      <c r="B29" s="2">
        <v>658619</v>
      </c>
      <c r="C29" s="2">
        <v>203505</v>
      </c>
      <c r="D29" s="2">
        <v>108610</v>
      </c>
      <c r="E29" s="2">
        <v>82281</v>
      </c>
      <c r="F29" s="2">
        <v>90846</v>
      </c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 t="s">
        <v>32</v>
      </c>
      <c r="B31" s="1"/>
      <c r="C31" s="1"/>
      <c r="D31" s="1"/>
      <c r="E31" s="1"/>
      <c r="F31" s="1"/>
    </row>
    <row r="32" spans="1:6" x14ac:dyDescent="0.25">
      <c r="A32" s="1" t="s">
        <v>33</v>
      </c>
      <c r="B32" s="2">
        <v>3357</v>
      </c>
      <c r="C32" s="2">
        <v>3352</v>
      </c>
      <c r="D32" s="2">
        <v>3343</v>
      </c>
      <c r="E32" s="2">
        <v>3310</v>
      </c>
      <c r="F32" s="2">
        <v>3300</v>
      </c>
    </row>
    <row r="33" spans="1:6" x14ac:dyDescent="0.25">
      <c r="A33" s="1" t="s">
        <v>34</v>
      </c>
      <c r="B33" s="2">
        <v>846796</v>
      </c>
      <c r="C33" s="2">
        <v>812224</v>
      </c>
      <c r="D33" s="2">
        <v>766382</v>
      </c>
      <c r="E33" s="2">
        <v>596239</v>
      </c>
      <c r="F33" s="2">
        <v>533068</v>
      </c>
    </row>
    <row r="34" spans="1:6" x14ac:dyDescent="0.25">
      <c r="A34" s="1" t="s">
        <v>35</v>
      </c>
      <c r="B34" s="2">
        <v>6458778</v>
      </c>
      <c r="C34" s="2">
        <v>6117567</v>
      </c>
      <c r="D34" s="2">
        <v>5460629</v>
      </c>
      <c r="E34" s="2">
        <v>4630390</v>
      </c>
      <c r="F34" s="2">
        <v>3844571</v>
      </c>
    </row>
    <row r="35" spans="1:6" x14ac:dyDescent="0.25">
      <c r="A35" s="1" t="s">
        <v>44</v>
      </c>
      <c r="B35" s="10">
        <v>-522526</v>
      </c>
      <c r="C35" s="10">
        <v>-137258</v>
      </c>
      <c r="D35" s="10">
        <v>-206662</v>
      </c>
      <c r="E35" s="10">
        <v>58653</v>
      </c>
      <c r="F35" s="10">
        <v>-12096</v>
      </c>
    </row>
    <row r="36" spans="1:6" x14ac:dyDescent="0.25">
      <c r="A36" s="1" t="s">
        <v>36</v>
      </c>
      <c r="B36" s="2">
        <v>-4670802</v>
      </c>
      <c r="C36" s="2">
        <v>-4420394</v>
      </c>
      <c r="D36" s="2">
        <v>-3266955</v>
      </c>
      <c r="E36" s="2">
        <v>-2204987</v>
      </c>
      <c r="F36" s="2">
        <v>-1150372</v>
      </c>
    </row>
    <row r="37" spans="1:6" x14ac:dyDescent="0.25">
      <c r="A37" s="8" t="s">
        <v>37</v>
      </c>
      <c r="B37" s="7">
        <f>SUM(B32:B36)</f>
        <v>2115603</v>
      </c>
      <c r="C37" s="7">
        <f t="shared" ref="C37:F37" si="3">SUM(C32:C36)</f>
        <v>2375491</v>
      </c>
      <c r="D37" s="7">
        <f t="shared" si="3"/>
        <v>2756737</v>
      </c>
      <c r="E37" s="7">
        <f t="shared" si="3"/>
        <v>3083605</v>
      </c>
      <c r="F37" s="7">
        <f t="shared" si="3"/>
        <v>3218471</v>
      </c>
    </row>
    <row r="39" spans="1:6" x14ac:dyDescent="0.25">
      <c r="A39" s="8" t="s">
        <v>45</v>
      </c>
      <c r="B39" s="7">
        <f>SUM(B24:B29,B37)</f>
        <v>7828625</v>
      </c>
      <c r="C39" s="7">
        <f t="shared" ref="C39:F39" si="4">SUM(C24:C29,C37)</f>
        <v>5656606</v>
      </c>
      <c r="D39" s="7">
        <f t="shared" si="4"/>
        <v>5532150</v>
      </c>
      <c r="E39" s="7">
        <f t="shared" si="4"/>
        <v>5255209</v>
      </c>
      <c r="F39" s="7">
        <f t="shared" si="4"/>
        <v>5483293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Metrics</vt:lpstr>
      <vt:lpstr>SA</vt:lpstr>
      <vt:lpstr>Stats</vt:lpstr>
      <vt:lpstr>Income</vt:lpstr>
      <vt:lpstr>BalanceSheet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</dc:creator>
  <cp:lastModifiedBy>Michael</cp:lastModifiedBy>
  <dcterms:created xsi:type="dcterms:W3CDTF">2010-02-07T17:28:29Z</dcterms:created>
  <dcterms:modified xsi:type="dcterms:W3CDTF">2012-03-14T14:05:52Z</dcterms:modified>
</cp:coreProperties>
</file>